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555" windowHeight="1276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сведения'!$A$155</definedName>
    <definedName name="_proverka">'ЭЗ'!$A$448</definedName>
    <definedName name="_xlfn.IFERROR" hidden="1">#NAME?</definedName>
    <definedName name="_дпо" localSheetId="1">#REF!</definedName>
    <definedName name="_дпо">'общие сведения'!$A$162</definedName>
    <definedName name="_рек3" localSheetId="1">#REF!</definedName>
    <definedName name="_рек3">'общие сведения'!$A$164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сведения'!$B$53</definedName>
    <definedName name="вуз_2" localSheetId="1">#REF!</definedName>
    <definedName name="вуз_2">'общие сведения'!$B$57</definedName>
    <definedName name="вуз_3" localSheetId="1">#REF!</definedName>
    <definedName name="вуз_3">'общие сведения'!$B$61</definedName>
    <definedName name="вывод1" localSheetId="1">#REF!</definedName>
    <definedName name="вывод1">'общие сведения'!$K$87</definedName>
    <definedName name="год" localSheetId="1">#REF!</definedName>
    <definedName name="год">'общие сведения'!$H$118</definedName>
    <definedName name="год_вуз_1" localSheetId="1">#REF!</definedName>
    <definedName name="год_вуз_1">'общие сведения'!$E$55</definedName>
    <definedName name="год_вуз_2" localSheetId="1">#REF!</definedName>
    <definedName name="год_вуз_2">'общие сведения'!$E$59</definedName>
    <definedName name="год_вуз_3" localSheetId="1">#REF!</definedName>
    <definedName name="год_вуз_3">'общие сведения'!$E$63</definedName>
    <definedName name="год_доп_по" localSheetId="1">#REF!</definedName>
    <definedName name="год_доп_по">'общие сведения'!$G$70</definedName>
    <definedName name="датаПрисв">'общие сведения'!$I$46</definedName>
    <definedName name="датаПрисв_ОС" localSheetId="1">#REF!</definedName>
    <definedName name="датаПрисв_ОС">'общие сведения'!$I$46</definedName>
    <definedName name="долж_ОС" localSheetId="1">#REF!</definedName>
    <definedName name="долж_ОС">'общие сведения'!$B$38</definedName>
    <definedName name="доп_по" localSheetId="1">#REF!</definedName>
    <definedName name="доп_по">'общие сведения'!$B$72</definedName>
    <definedName name="ЗаявлКатег_ОС" localSheetId="1">#REF!</definedName>
    <definedName name="ЗаявлКатег_ОС">'общие сведения'!$D$48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'ЭЗ'!$AA$225</definedName>
    <definedName name="итого_3">'ЭЗ'!$AA$225</definedName>
    <definedName name="итого_4">'ЭЗ'!$AA$405</definedName>
    <definedName name="катег_ОС" localSheetId="1">#REF!</definedName>
    <definedName name="катег_ОС">'общие сведения'!$D$46</definedName>
    <definedName name="кол_ЭГ" localSheetId="1">#REF!</definedName>
    <definedName name="кол_ЭГ">'общие сведения'!$F$107</definedName>
    <definedName name="Курсы_0">#REF!</definedName>
    <definedName name="место_ОС" localSheetId="1">#REF!</definedName>
    <definedName name="место_ОС">'общие сведения'!$B$34</definedName>
    <definedName name="МуницОбр_ОС" localSheetId="1">#REF!</definedName>
    <definedName name="МуницОбр_ОС">'общие сведения'!$G$32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сведения'!$A$3:$J$126</definedName>
    <definedName name="_xlnm.Print_Area" localSheetId="1">'ЭЗ'!$A$40:$W$108</definedName>
    <definedName name="Ош_1" localSheetId="1">#REF!</definedName>
    <definedName name="Ош_1">'общие сведения'!$J$44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сведения'!$A$98</definedName>
    <definedName name="рез_3" localSheetId="1">#REF!</definedName>
    <definedName name="рез_3">'общие сведения'!$A$99</definedName>
    <definedName name="рек_итог" localSheetId="1">#REF!</definedName>
    <definedName name="рек_итог">'общие сведения'!$M$156</definedName>
    <definedName name="рек_общ" localSheetId="1">#REF!</definedName>
    <definedName name="рек_общ">'общие сведения'!$M$155</definedName>
    <definedName name="Рек_ПК">'общие сведения'!$A$155</definedName>
    <definedName name="рек2" localSheetId="1">#REF!</definedName>
    <definedName name="рек2">'общие сведения'!$I$93</definedName>
    <definedName name="рек3" localSheetId="1">#REF!</definedName>
    <definedName name="рек3">'общие сведения'!$I$96</definedName>
    <definedName name="специал_ОС" localSheetId="1">#REF!</definedName>
    <definedName name="специал_ОС">'общие сведения'!$B$39</definedName>
    <definedName name="стаж_ОС" localSheetId="1">#REF!</definedName>
    <definedName name="стаж_ОС">'общие сведения'!$D$44</definedName>
    <definedName name="фио_1чл" localSheetId="1">#REF!</definedName>
    <definedName name="фио_1чл">'общие сведения'!$C$111</definedName>
    <definedName name="фио_2чл" localSheetId="1">#REF!</definedName>
    <definedName name="фио_2чл">'общие сведения'!$C$113</definedName>
    <definedName name="фио_3чл" localSheetId="1">#REF!</definedName>
    <definedName name="фио_3чл">'общие сведения'!$C$115</definedName>
    <definedName name="фио_ОС" localSheetId="1">#REF!</definedName>
    <definedName name="фио_ОС">'общие сведения'!$C$30</definedName>
    <definedName name="фио_предс" localSheetId="1">#REF!</definedName>
    <definedName name="фио_предс">'общие сведения'!$C$109</definedName>
    <definedName name="ы" localSheetId="1">#REF!</definedName>
    <definedName name="ы">'общие сведения'!$B$39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5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Например, </t>
        </r>
        <r>
          <rPr>
            <i/>
            <u val="single"/>
            <sz val="8"/>
            <rFont val="Tahoma"/>
            <family val="2"/>
          </rPr>
          <t xml:space="preserve">высшее: </t>
        </r>
        <r>
          <rPr>
            <i/>
            <sz val="8"/>
            <rFont val="Tahoma"/>
            <family val="2"/>
          </rPr>
          <t xml:space="preserve">ГОУ ВПО Гуманитарная академия, г.Москва. Специальность: "Дошкольное образование", квалификация: воспитатель детей дошкольного возраста.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B7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6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I46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A101" authorId="1">
      <text>
        <r>
          <rPr>
            <b/>
            <sz val="9"/>
            <rFont val="Tahoma"/>
            <family val="2"/>
          </rPr>
          <t xml:space="preserve">Результаты пробного (платного) тестирования </t>
        </r>
        <r>
          <rPr>
            <sz val="9"/>
            <rFont val="Tahoma"/>
            <family val="2"/>
          </rPr>
          <t>по диагностике профессиональных компетенций</t>
        </r>
        <r>
          <rPr>
            <b/>
            <sz val="9"/>
            <rFont val="Tahoma"/>
            <family val="2"/>
          </rPr>
          <t xml:space="preserve"> 
не учитываются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64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H407" authorId="2">
      <text>
        <r>
          <rPr>
            <sz val="9"/>
            <rFont val="Tahoma"/>
            <family val="2"/>
          </rPr>
          <t xml:space="preserve">   Заполняется </t>
        </r>
        <r>
          <rPr>
            <u val="single"/>
            <sz val="9"/>
            <rFont val="Tahoma"/>
            <family val="2"/>
          </rPr>
          <t xml:space="preserve">при наличии результатов </t>
        </r>
        <r>
          <rPr>
            <sz val="9"/>
            <rFont val="Tahoma"/>
            <family val="2"/>
          </rPr>
          <t xml:space="preserve">оценки профессиональной компетентности педагога с уровнем </t>
        </r>
        <r>
          <rPr>
            <u val="single"/>
            <sz val="9"/>
            <rFont val="Tahoma"/>
            <family val="2"/>
          </rPr>
          <t>не ниже базового</t>
        </r>
        <r>
          <rPr>
            <sz val="9"/>
            <rFont val="Tahoma"/>
            <family val="2"/>
          </rPr>
          <t xml:space="preserve"> (тестирование на базах ЦНППМ МО).
   Наличие оценки (да/нет) следует указать на листе «Общие сведения». </t>
        </r>
      </text>
    </comment>
  </commentList>
</comments>
</file>

<file path=xl/sharedStrings.xml><?xml version="1.0" encoding="utf-8"?>
<sst xmlns="http://schemas.openxmlformats.org/spreadsheetml/2006/main" count="991" uniqueCount="614">
  <si>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</si>
  <si>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</si>
  <si>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</si>
  <si>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</si>
  <si>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</si>
  <si>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</si>
  <si>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</si>
  <si>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</si>
  <si>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</si>
  <si>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</si>
  <si>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</si>
  <si>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</si>
  <si>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</si>
  <si>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</si>
  <si>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</si>
  <si>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</si>
  <si>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</si>
  <si>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</si>
  <si>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</si>
  <si>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</si>
  <si>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</si>
  <si>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</si>
  <si>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</si>
  <si>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</si>
  <si>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</si>
  <si>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</si>
  <si>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</si>
  <si>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</si>
  <si>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</si>
  <si>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</si>
  <si>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</si>
  <si>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</si>
  <si>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</si>
  <si>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</si>
  <si>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</si>
  <si>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</si>
  <si>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</si>
  <si>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</si>
  <si>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</si>
  <si>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</si>
  <si>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</si>
  <si>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</si>
  <si>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</si>
  <si>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</si>
  <si>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</si>
  <si>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</si>
  <si>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</si>
  <si>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</si>
  <si>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</si>
  <si>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</si>
  <si>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</si>
  <si>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</si>
  <si>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</si>
  <si>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</si>
  <si>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</si>
  <si>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</si>
  <si>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</si>
  <si>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</si>
  <si>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</si>
  <si>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</si>
  <si>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</si>
  <si>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</si>
  <si>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</si>
  <si>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</si>
  <si>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</si>
  <si>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</si>
  <si>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</si>
  <si>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</si>
  <si>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</si>
  <si>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</si>
  <si>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</si>
  <si>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</si>
  <si>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</si>
  <si>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</si>
  <si>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</si>
  <si>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</si>
  <si>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</si>
  <si>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</si>
  <si>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</si>
  <si>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</si>
  <si>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</si>
  <si>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Протвино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</si>
  <si>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</si>
  <si>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</si>
  <si>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</si>
  <si>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</si>
  <si>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</si>
  <si>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</si>
  <si>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</si>
  <si>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</si>
  <si>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</si>
  <si>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</si>
  <si>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</si>
  <si>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</si>
  <si>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</si>
  <si>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</si>
  <si>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</si>
  <si>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</si>
  <si>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</si>
  <si>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</si>
  <si>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</si>
  <si>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</si>
  <si>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</si>
  <si>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</si>
  <si>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</si>
  <si>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</si>
  <si>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</si>
  <si>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</si>
  <si>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</si>
  <si>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</si>
  <si>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</si>
  <si>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</si>
  <si>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</si>
  <si>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</si>
  <si>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</si>
  <si>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</si>
  <si>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</si>
  <si>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</si>
  <si>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</si>
  <si>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</si>
  <si>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</si>
  <si>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</si>
  <si>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</si>
  <si>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</si>
  <si>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</si>
  <si>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</si>
  <si>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</si>
  <si>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</si>
  <si>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</si>
  <si>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</si>
  <si>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</si>
  <si>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</si>
  <si>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</si>
  <si>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</si>
  <si>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</si>
  <si>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</si>
  <si>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</si>
  <si>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</si>
  <si>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</si>
  <si>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</si>
  <si>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</si>
  <si>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</si>
  <si>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</si>
  <si>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</si>
  <si>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</si>
  <si>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</si>
  <si>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</si>
  <si>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</si>
  <si>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</si>
  <si>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</si>
  <si>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</si>
  <si>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</si>
  <si>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</si>
  <si>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</si>
  <si>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</si>
  <si>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</si>
  <si>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</si>
  <si>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</si>
  <si>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</si>
  <si>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</si>
  <si>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</si>
  <si>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</si>
  <si>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</si>
  <si>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</si>
  <si>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</si>
  <si>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</si>
  <si>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</si>
  <si>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</si>
  <si>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</si>
  <si>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</si>
  <si>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</si>
  <si>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</si>
  <si>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</si>
  <si>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</si>
  <si>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</si>
  <si>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</si>
  <si>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</si>
  <si>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</si>
  <si>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</si>
  <si>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</si>
  <si>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</si>
  <si>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</si>
  <si>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</si>
  <si>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</si>
  <si>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</si>
  <si>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</si>
  <si>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</si>
  <si>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</si>
  <si>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</si>
  <si>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</si>
  <si>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</si>
  <si>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</si>
  <si>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</si>
  <si>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</si>
  <si>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</si>
  <si>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</si>
  <si>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</si>
  <si>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</si>
  <si>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</si>
  <si>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</si>
  <si>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</si>
  <si>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</si>
  <si>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</si>
  <si>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</si>
  <si>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</si>
  <si>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</si>
  <si>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</si>
  <si>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</si>
  <si>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</si>
  <si>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</si>
  <si>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</si>
  <si>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</si>
  <si>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</si>
  <si>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</si>
  <si>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</si>
  <si>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</si>
  <si>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</si>
  <si>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</si>
  <si>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</si>
  <si>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</si>
  <si>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</si>
  <si>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</si>
  <si>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</si>
  <si>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</si>
  <si>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</si>
  <si>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</si>
  <si>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</si>
  <si>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</si>
  <si>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</si>
  <si>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</si>
  <si>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</si>
  <si>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</si>
  <si>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</si>
  <si>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</si>
  <si>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</si>
  <si>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</si>
  <si>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</si>
  <si>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</si>
  <si>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</si>
  <si>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</si>
  <si>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</si>
  <si>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</si>
  <si>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</si>
  <si>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</si>
  <si>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</si>
  <si>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</si>
  <si>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</si>
  <si>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</si>
  <si>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</si>
  <si>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</si>
  <si>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</si>
  <si>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</si>
  <si>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</si>
  <si>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</si>
  <si>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</si>
  <si>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</si>
  <si>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</si>
  <si>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</si>
  <si>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</si>
  <si>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</si>
  <si>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</si>
  <si>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</si>
  <si>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</si>
  <si>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</si>
  <si>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</si>
  <si>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</si>
  <si>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</si>
  <si>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</si>
  <si>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</si>
  <si>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</si>
  <si>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</si>
  <si>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</si>
  <si>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</si>
  <si>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</si>
  <si>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</si>
  <si>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</si>
  <si>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</si>
  <si>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</si>
  <si>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</si>
  <si>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</si>
  <si>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</si>
  <si>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</si>
  <si>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</si>
  <si>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</si>
  <si>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</si>
  <si>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</si>
  <si>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</si>
  <si>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</si>
  <si>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</si>
  <si>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</si>
  <si>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</si>
  <si>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</si>
  <si>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</si>
  <si>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</si>
  <si>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</si>
  <si>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</si>
  <si>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</si>
  <si>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</si>
  <si>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</si>
  <si>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</si>
  <si>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</si>
  <si>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</si>
  <si>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</si>
  <si>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</si>
  <si>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</si>
  <si>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</si>
  <si>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</si>
  <si>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</si>
  <si>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</si>
  <si>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</si>
  <si>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</si>
  <si>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</si>
  <si>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</si>
  <si>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</si>
  <si>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Региональные контрольные работы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</si>
  <si>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</si>
  <si>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</si>
  <si>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</si>
  <si>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</si>
  <si>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</si>
  <si>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</si>
  <si>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</si>
  <si>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</si>
  <si>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</si>
  <si>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</si>
  <si>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</si>
  <si>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</si>
  <si>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</si>
  <si>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</si>
  <si>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</si>
  <si>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</si>
  <si>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</si>
  <si>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</si>
  <si>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</si>
  <si>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</si>
  <si>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</si>
  <si>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</si>
  <si>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</si>
  <si>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</si>
  <si>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</si>
  <si>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</si>
  <si>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</si>
  <si>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</si>
  <si>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</si>
  <si>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</si>
  <si>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</si>
  <si>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</si>
  <si>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</si>
  <si>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</si>
  <si>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</si>
  <si>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</si>
  <si>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</si>
  <si>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</si>
  <si>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</si>
  <si>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</si>
  <si>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</si>
  <si>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</si>
  <si>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</si>
  <si>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</si>
  <si>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</si>
  <si>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</si>
  <si>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</si>
  <si>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</si>
  <si>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</si>
  <si>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</si>
  <si>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</si>
  <si>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</si>
  <si>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</si>
  <si>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</si>
  <si>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</si>
  <si>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</si>
  <si>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</si>
  <si>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</si>
  <si>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</si>
  <si>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</si>
  <si>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</si>
  <si>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</si>
  <si>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</si>
  <si>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</si>
  <si>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</si>
  <si>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</si>
  <si>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</si>
  <si>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</si>
  <si>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</si>
  <si>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</si>
  <si>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</si>
  <si>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</si>
  <si>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</si>
  <si>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</si>
  <si>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</si>
  <si>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</si>
  <si>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</si>
  <si>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</si>
  <si>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</si>
  <si>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</si>
  <si>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</si>
  <si>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</si>
  <si>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</si>
  <si>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</si>
  <si>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</si>
  <si>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</si>
  <si>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</si>
  <si>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</si>
  <si>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-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</si>
  <si>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</si>
  <si>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</si>
  <si>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</si>
  <si>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</si>
  <si>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</si>
  <si>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</si>
  <si>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</si>
  <si>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</si>
  <si>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</si>
  <si>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</si>
  <si>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</si>
  <si>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</si>
  <si>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</si>
  <si>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</si>
  <si>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</si>
  <si>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</si>
  <si>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</si>
  <si>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</si>
  <si>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</si>
  <si>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</si>
  <si>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</si>
  <si>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</si>
  <si>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</si>
  <si>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</si>
  <si>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</si>
  <si>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</si>
  <si>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</si>
  <si>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</si>
  <si>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</si>
  <si>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>Участие педагога в проект-
но-исследовательской, опытно-экспериментальной 
и др. научной деятельности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</si>
  <si>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</si>
  <si>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</si>
  <si>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</si>
  <si>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</si>
  <si>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</si>
  <si>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</si>
  <si>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</si>
  <si>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</si>
  <si>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</si>
  <si>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</si>
  <si>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</si>
  <si>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</si>
  <si>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</si>
  <si>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</si>
  <si>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</si>
  <si>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 xml:space="preserve">Повышение квалификации 
(курсы повышения квалификации, стажировка)
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</si>
  <si>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</si>
  <si>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</si>
  <si>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</si>
  <si>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</si>
  <si>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</si>
  <si>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</si>
  <si>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</si>
  <si>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</si>
  <si>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</si>
  <si>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</si>
  <si>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</si>
  <si>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</si>
  <si>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</si>
  <si>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</si>
  <si>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</si>
  <si>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</si>
  <si>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</si>
  <si>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</si>
  <si>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</si>
  <si>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</si>
  <si>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</si>
  <si>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</si>
  <si>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</si>
  <si>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</si>
  <si>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 xml:space="preserve">требованиям, </t>
  </si>
  <si>
    <t>МАСТЕРА П/О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</si>
  <si>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</si>
  <si>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</si>
  <si>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</si>
  <si>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</si>
  <si>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</si>
  <si>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</si>
  <si>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</si>
  <si>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</si>
  <si>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</si>
  <si>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</si>
  <si>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</si>
  <si>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</si>
  <si>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</si>
  <si>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</si>
  <si>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</si>
  <si>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</si>
  <si>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</si>
  <si>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</si>
  <si>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</si>
  <si>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</si>
  <si>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</si>
  <si>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</si>
  <si>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</si>
  <si>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</si>
  <si>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</si>
  <si>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</si>
  <si>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t>Учитель 
(преподаватель)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</si>
  <si>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</si>
  <si>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</si>
  <si>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</si>
  <si>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</si>
  <si>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</si>
  <si>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</si>
  <si>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</si>
  <si>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</si>
  <si>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</si>
  <si>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</si>
  <si>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</si>
  <si>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</si>
  <si>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t xml:space="preserve">Должность: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</si>
  <si>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</si>
  <si>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об уровне квалификации педагогического работника  (воспитатель)
государственных, муниципальных и частных дошкольных образовательных организаций 
Московской области</t>
  </si>
  <si>
    <t>воспитатель ДОО</t>
  </si>
  <si>
    <t>ДОО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</si>
  <si>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</si>
  <si>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</si>
  <si>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>проверка для всех должностей</t>
  </si>
  <si>
    <t>мастер</t>
  </si>
  <si>
    <t>_общ</t>
  </si>
  <si>
    <t xml:space="preserve"> ---</t>
  </si>
  <si>
    <t>воспитатель ОО</t>
  </si>
  <si>
    <t>воспитателя 
дошкольной образовательной организации</t>
  </si>
  <si>
    <t>воспитателя образовательной организации (ОО, Дет.домов, Ш-И, ГПД, ПО)</t>
  </si>
  <si>
    <t xml:space="preserve">Стабильные положительные результаты </t>
  </si>
  <si>
    <t>Нет стабильных положительных результатов</t>
  </si>
  <si>
    <t>Нет динамики / отрицательная динамика результатов</t>
  </si>
  <si>
    <t>Продуктивность воспитательной деятельности</t>
  </si>
  <si>
    <t>дошкольное образование</t>
  </si>
  <si>
    <t>должность             соответствует/ не соответствует</t>
  </si>
  <si>
    <t># 2</t>
  </si>
  <si>
    <t>Не 
соответствует требованиям 
ФГОС к РППС</t>
  </si>
  <si>
    <t>Частично соответствует требованиям 
ФГОС к РППС</t>
  </si>
  <si>
    <t>Организация развивающей предметно-пространственной среды (далее РППС)</t>
  </si>
  <si>
    <r>
      <t xml:space="preserve">Наличие </t>
    </r>
    <r>
      <rPr>
        <b/>
        <i/>
        <sz val="10"/>
        <rFont val="Times New Roman"/>
        <family val="1"/>
      </rPr>
      <t xml:space="preserve">образовательных </t>
    </r>
    <r>
      <rPr>
        <i/>
        <sz val="10"/>
        <rFont val="Times New Roman"/>
        <family val="1"/>
      </rPr>
      <t>зон (центров, уголков и др.), оснащенных развивающими материалами согласно возрастным особенностям детей, мест демонстрации работ воспитанников. Количество работ воспитанников</t>
    </r>
  </si>
  <si>
    <t>Полностью соответствует требованиям 
ФГОС к РППС</t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</si>
  <si>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</si>
  <si>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</si>
  <si>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</si>
  <si>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>Взаимодействие с родителями (законными представителями) по вопросам образования ребенка, семейного воспитания, организации досуга и др.</t>
  </si>
  <si>
    <t>Муниципальный 
уровень</t>
  </si>
  <si>
    <t>Уровень обр.орг.</t>
  </si>
  <si>
    <t xml:space="preserve"> 20-40</t>
  </si>
  <si>
    <t>Результаты творческой дея-
тельности воспитанников: конкурсы, турниры, выстав-
ки, фестивали, спортивные мероприятия и др.</t>
  </si>
  <si>
    <t xml:space="preserve">
Победители, призеры - 10б.</t>
  </si>
  <si>
    <t xml:space="preserve">
Победители, призеры - 30б.</t>
  </si>
  <si>
    <t xml:space="preserve">
Победители, призеры -40б.</t>
  </si>
  <si>
    <t xml:space="preserve">
Победители, призеры - 50б.</t>
  </si>
  <si>
    <t xml:space="preserve">
Участие - 10б.</t>
  </si>
  <si>
    <t xml:space="preserve">
Участие - 20б.</t>
  </si>
  <si>
    <t xml:space="preserve"> 2.4.</t>
  </si>
  <si>
    <t>Результаты проектной деятельности воспитанников</t>
  </si>
  <si>
    <t>1-2 проект.-10б.</t>
  </si>
  <si>
    <t>(с учетом проектов, созданных совместно с родителями)
(далее – Прил. № 2)</t>
  </si>
  <si>
    <t>1-2 проект. -
20б</t>
  </si>
  <si>
    <t>3 и более -20б.</t>
  </si>
  <si>
    <t>1-2 проект. -
30б</t>
  </si>
  <si>
    <t>1-2 проект. -
40б</t>
  </si>
  <si>
    <t>40-50</t>
  </si>
  <si>
    <t xml:space="preserve">
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</si>
  <si>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</si>
  <si>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Продуктивность деятельности педагогического работника по развитию воспитанников</t>
  </si>
  <si>
    <t xml:space="preserve">Положительная динамика 
результатов </t>
  </si>
  <si>
    <r>
      <t xml:space="preserve">Методы организации деятельности воспитанников 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воспитанников на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</si>
  <si>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</si>
  <si>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</si>
  <si>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</si>
  <si>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</si>
  <si>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</si>
  <si>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</si>
  <si>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</si>
  <si>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 xml:space="preserve"> 30-50</t>
  </si>
  <si>
    <t>Проведение открытых  занятий, мероприятий, мастер-классов и др.</t>
  </si>
  <si>
    <t xml:space="preserve">Муниципальный 
уровень
</t>
  </si>
  <si>
    <t xml:space="preserve">Федеральный уровень
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</si>
  <si>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>(за исключе- нием вопросов организацион-
ного характера)</t>
    </r>
    <r>
      <rPr>
        <sz val="11"/>
        <rFont val="Times New Roman"/>
        <family val="1"/>
      </rPr>
      <t xml:space="preserve">  и др. </t>
    </r>
  </si>
  <si>
    <t>Публичное представление собственного педагогического опыта 
на сайтах</t>
  </si>
  <si>
    <t>Участие в деятельности экспертных групп, комиссий, оргкомитетов, профессиональных ассоциаций (ПА),  жюри профессиональных конкурсов и др.</t>
  </si>
  <si>
    <t xml:space="preserve">Руководство методическими объединениями </t>
  </si>
  <si>
    <t xml:space="preserve"> об уровне квалификации 
педагогического работника  </t>
  </si>
  <si>
    <t xml:space="preserve"> государственных, муниципальных и частных дошкольных образовательных организаций 
Московской области
</t>
  </si>
  <si>
    <t xml:space="preserve">Воспитатель </t>
  </si>
  <si>
    <t>(далее – Прил. № 2)
Примечание:
1. На региональном и федераль-
ном уровнях учитываются конкурсы и иные мероприятия, входящие в утвержденные перечни*, а также рекомендованные мероприятия
2. Баллы за участие даются только при отсутствии победителей и призеров
3. Платные дистанционные конкурсы не учитываются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</si>
  <si>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</si>
  <si>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>ЗА ОСНОВУ НЕ БРАТЬ!!!  Брать ЭЗ # 1 уч./препод. ООД</t>
  </si>
  <si>
    <t>Информация для …</t>
  </si>
  <si>
    <t>Результаты освоения воспитанниками образовательных программ по итогам мониторингов, проводимых организацией</t>
  </si>
  <si>
    <t xml:space="preserve">ссылка </t>
  </si>
  <si>
    <r>
      <t xml:space="preserve"> 10-20</t>
    </r>
    <r>
      <rPr>
        <b/>
        <sz val="10"/>
        <color indexed="9"/>
        <rFont val="Times New Roman"/>
        <family val="1"/>
      </rPr>
      <t>.</t>
    </r>
  </si>
  <si>
    <t>(далее – Прил. № 1)</t>
  </si>
  <si>
    <t>Результаты освоения воспитанниками основной образовательной программы дошкольного образования по итогам мониторингов, проводимых организацией</t>
  </si>
  <si>
    <t>Динамика результатов освоения воспитанниками основной образовательной программы дошкольного образования по итогам мониторингов, проводимых организацией</t>
  </si>
  <si>
    <r>
      <t xml:space="preserve">Методы формирования новых знаний и способов действий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(оценка деятельности педагогического работника на занятии)</t>
    </r>
    <r>
      <rPr>
        <sz val="11"/>
        <rFont val="Times New Roman"/>
        <family val="1"/>
      </rPr>
      <t xml:space="preserve">
</t>
    </r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</si>
  <si>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</si>
  <si>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</si>
  <si>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 xml:space="preserve"> ------------------------------------------------------------------
воспитателя ДОО
 ------------------------------------------------------------------</t>
  </si>
  <si>
    <t>Участие в 
профессиональных конкурсах</t>
  </si>
  <si>
    <t>Региональный/ федеральный/ международный уровень</t>
  </si>
  <si>
    <t>Примечание: Учитываются конкурсы, входящие в перечни рекомендованных конкурсов для педагогов (утвержденные нормативно-правовыми актами Минпросвещения России и Министерства образования Московской области)</t>
  </si>
  <si>
    <t>Результаты пробного (платного) тестирования по диагностике профессиональных 
компетенций не учитываются</t>
  </si>
  <si>
    <t>(учитывается итоговый уровень 
продемонстрированных результатов диагностики 
профессиональных компетенций не ниже базового)</t>
  </si>
  <si>
    <t>Наличие результатов оценки профессиональной компетентности педагога</t>
  </si>
  <si>
    <r>
      <t>Наличие оценки профессиональной компетентности  (тестирование на базах ЦНППМ МО в</t>
    </r>
    <r>
      <rPr>
        <u val="single"/>
        <sz val="11"/>
        <rFont val="Arial"/>
        <family val="2"/>
      </rPr>
      <t xml:space="preserve"> межаттестационный период)</t>
    </r>
  </si>
  <si>
    <t xml:space="preserve"> 10-70</t>
  </si>
  <si>
    <t xml:space="preserve"> ЭЗ - 02. 2023 г.</t>
  </si>
  <si>
    <t>февраля</t>
  </si>
  <si>
    <t>изменено февр.2023г.</t>
  </si>
  <si>
    <t>Коломна</t>
  </si>
  <si>
    <t>кол-во г.о.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</si>
</sst>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10"/>
      <name val="Times New Roman"/>
      <family val="1"/>
    </font>
    <font>
      <b/>
      <i/>
      <sz val="8"/>
      <name val="Tahoma"/>
      <family val="2"/>
    </font>
    <font>
      <b/>
      <sz val="10"/>
      <color indexed="9"/>
      <name val="Times New Roman"/>
      <family val="1"/>
    </font>
    <font>
      <u val="single"/>
      <sz val="9"/>
      <name val="Tahoma"/>
      <family val="2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i/>
      <sz val="9"/>
      <color indexed="36"/>
      <name val="Arial Cyr"/>
      <family val="0"/>
    </font>
    <font>
      <b/>
      <i/>
      <sz val="9"/>
      <color indexed="12"/>
      <name val="Arial Cyr"/>
      <family val="0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 Cyr"/>
      <family val="0"/>
    </font>
    <font>
      <sz val="10.5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30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color indexed="9"/>
      <name val="Times New Roman"/>
      <family val="1"/>
    </font>
    <font>
      <u val="single"/>
      <sz val="8"/>
      <color indexed="18"/>
      <name val="Arial Cyr"/>
      <family val="0"/>
    </font>
    <font>
      <b/>
      <sz val="11"/>
      <color indexed="22"/>
      <name val="Times New Roman"/>
      <family val="1"/>
    </font>
    <font>
      <sz val="9"/>
      <color indexed="10"/>
      <name val="Arial Cyr"/>
      <family val="0"/>
    </font>
    <font>
      <sz val="8"/>
      <color indexed="10"/>
      <name val="Adobe Arabic"/>
      <family val="1"/>
    </font>
    <font>
      <i/>
      <sz val="10"/>
      <color indexed="10"/>
      <name val="Times New Roman"/>
      <family val="1"/>
    </font>
    <font>
      <i/>
      <sz val="8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Arial"/>
      <family val="2"/>
    </font>
    <font>
      <vertAlign val="superscript"/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7"/>
      <color indexed="10"/>
      <name val="Arial Cyr"/>
      <family val="0"/>
    </font>
    <font>
      <sz val="11"/>
      <color indexed="40"/>
      <name val="Times New Roman"/>
      <family val="1"/>
    </font>
    <font>
      <sz val="7"/>
      <color indexed="36"/>
      <name val="Arial Cyr"/>
      <family val="0"/>
    </font>
    <font>
      <sz val="10"/>
      <color indexed="44"/>
      <name val="Times New Roman"/>
      <family val="1"/>
    </font>
    <font>
      <sz val="10"/>
      <color indexed="23"/>
      <name val="Times New Roman"/>
      <family val="1"/>
    </font>
    <font>
      <b/>
      <i/>
      <u val="single"/>
      <sz val="12"/>
      <color indexed="60"/>
      <name val="Times New Roman"/>
      <family val="1"/>
    </font>
    <font>
      <b/>
      <i/>
      <u val="single"/>
      <sz val="9"/>
      <color indexed="12"/>
      <name val="Arial Cyr"/>
      <family val="0"/>
    </font>
    <font>
      <i/>
      <sz val="10"/>
      <color indexed="22"/>
      <name val="Times New Roman"/>
      <family val="1"/>
    </font>
    <font>
      <b/>
      <sz val="11"/>
      <color indexed="22"/>
      <name val="Arial"/>
      <family val="2"/>
    </font>
    <font>
      <sz val="11"/>
      <color indexed="22"/>
      <name val="Times New Roman"/>
      <family val="1"/>
    </font>
    <font>
      <i/>
      <sz val="9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i/>
      <sz val="9"/>
      <color rgb="FF7030A0"/>
      <name val="Arial Cyr"/>
      <family val="0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8"/>
      <color rgb="FF0000CC"/>
      <name val="Arial Cyr"/>
      <family val="0"/>
    </font>
    <font>
      <sz val="10"/>
      <color rgb="FF0000CC"/>
      <name val="Arial Cyr"/>
      <family val="0"/>
    </font>
    <font>
      <b/>
      <u val="single"/>
      <sz val="10"/>
      <color rgb="FFFF0000"/>
      <name val="Arial Cyr"/>
      <family val="0"/>
    </font>
    <font>
      <b/>
      <sz val="10"/>
      <color rgb="FF0000FF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i/>
      <sz val="10"/>
      <color theme="2" tint="-0.09996999800205231"/>
      <name val="Arial"/>
      <family val="2"/>
    </font>
    <font>
      <sz val="10"/>
      <color theme="2" tint="-0.09996999800205231"/>
      <name val="Arial Cyr"/>
      <family val="0"/>
    </font>
    <font>
      <sz val="10.5"/>
      <color theme="2" tint="-0.09996999800205231"/>
      <name val="Times New Roman"/>
      <family val="1"/>
    </font>
    <font>
      <sz val="10"/>
      <color theme="2" tint="-0.09996999800205231"/>
      <name val="Times New Roman"/>
      <family val="1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sz val="12"/>
      <color theme="0"/>
      <name val="Times New Roman"/>
      <family val="1"/>
    </font>
    <font>
      <sz val="11"/>
      <color rgb="FF333399"/>
      <name val="Times New Roman"/>
      <family val="1"/>
    </font>
    <font>
      <u val="single"/>
      <sz val="8"/>
      <color rgb="FF000080"/>
      <name val="Arial Cyr"/>
      <family val="0"/>
    </font>
    <font>
      <b/>
      <sz val="11"/>
      <color theme="2" tint="-0.09996999800205231"/>
      <name val="Times New Roman"/>
      <family val="1"/>
    </font>
    <font>
      <sz val="9"/>
      <color rgb="FFFF0000"/>
      <name val="Arial Cyr"/>
      <family val="0"/>
    </font>
    <font>
      <sz val="8"/>
      <color rgb="FFFF0000"/>
      <name val="Adobe Arabic"/>
      <family val="1"/>
    </font>
    <font>
      <i/>
      <sz val="10"/>
      <color rgb="FFFF0000"/>
      <name val="Times New Roman"/>
      <family val="1"/>
    </font>
    <font>
      <i/>
      <sz val="8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  <font>
      <vertAlign val="superscript"/>
      <sz val="9"/>
      <color rgb="FFFF0000"/>
      <name val="Times New Roman"/>
      <family val="1"/>
    </font>
    <font>
      <sz val="10.5"/>
      <color rgb="FFFF0000"/>
      <name val="Times New Roman"/>
      <family val="1"/>
    </font>
    <font>
      <sz val="7"/>
      <color rgb="FFFF0000"/>
      <name val="Arial Cyr"/>
      <family val="0"/>
    </font>
    <font>
      <sz val="11"/>
      <color rgb="FF00B0F0"/>
      <name val="Times New Roman"/>
      <family val="1"/>
    </font>
    <font>
      <sz val="7"/>
      <color rgb="FF7030A0"/>
      <name val="Arial Cyr"/>
      <family val="0"/>
    </font>
    <font>
      <b/>
      <sz val="10"/>
      <color rgb="FFFF0000"/>
      <name val="Arial Cyr"/>
      <family val="0"/>
    </font>
    <font>
      <b/>
      <i/>
      <sz val="8"/>
      <color rgb="FF0033CC"/>
      <name val="Arial Cyr"/>
      <family val="0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b/>
      <i/>
      <u val="single"/>
      <sz val="12"/>
      <color rgb="FFC00000"/>
      <name val="Times New Roman"/>
      <family val="1"/>
    </font>
    <font>
      <sz val="10"/>
      <color theme="1" tint="0.34999001026153564"/>
      <name val="Times New Roman"/>
      <family val="1"/>
    </font>
    <font>
      <sz val="10"/>
      <color theme="4" tint="0.39998000860214233"/>
      <name val="Times New Roman"/>
      <family val="1"/>
    </font>
    <font>
      <b/>
      <sz val="10"/>
      <color theme="2" tint="-0.09996999800205231"/>
      <name val="Times New Roman"/>
      <family val="1"/>
    </font>
    <font>
      <i/>
      <sz val="9"/>
      <color theme="2" tint="-0.09996999800205231"/>
      <name val="Times New Roman"/>
      <family val="1"/>
    </font>
    <font>
      <b/>
      <sz val="11"/>
      <color theme="2" tint="-0.09996999800205231"/>
      <name val="Arial"/>
      <family val="2"/>
    </font>
    <font>
      <sz val="11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 style="thick">
        <color rgb="FF0000CC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>
        <color indexed="63"/>
      </left>
      <right style="thick">
        <color rgb="FF0000CC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thick">
        <color rgb="FF0000CC"/>
      </bottom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8" fillId="2" borderId="0" applyNumberFormat="0" applyBorder="0" applyAlignment="0" applyProtection="0"/>
    <xf numFmtId="0" fontId="198" fillId="3" borderId="0" applyNumberFormat="0" applyBorder="0" applyAlignment="0" applyProtection="0"/>
    <xf numFmtId="0" fontId="198" fillId="4" borderId="0" applyNumberFormat="0" applyBorder="0" applyAlignment="0" applyProtection="0"/>
    <xf numFmtId="0" fontId="198" fillId="5" borderId="0" applyNumberFormat="0" applyBorder="0" applyAlignment="0" applyProtection="0"/>
    <xf numFmtId="0" fontId="198" fillId="6" borderId="0" applyNumberFormat="0" applyBorder="0" applyAlignment="0" applyProtection="0"/>
    <xf numFmtId="0" fontId="198" fillId="7" borderId="0" applyNumberFormat="0" applyBorder="0" applyAlignment="0" applyProtection="0"/>
    <xf numFmtId="0" fontId="198" fillId="8" borderId="0" applyNumberFormat="0" applyBorder="0" applyAlignment="0" applyProtection="0"/>
    <xf numFmtId="0" fontId="198" fillId="9" borderId="0" applyNumberFormat="0" applyBorder="0" applyAlignment="0" applyProtection="0"/>
    <xf numFmtId="0" fontId="198" fillId="10" borderId="0" applyNumberFormat="0" applyBorder="0" applyAlignment="0" applyProtection="0"/>
    <xf numFmtId="0" fontId="198" fillId="11" borderId="0" applyNumberFormat="0" applyBorder="0" applyAlignment="0" applyProtection="0"/>
    <xf numFmtId="0" fontId="198" fillId="12" borderId="0" applyNumberFormat="0" applyBorder="0" applyAlignment="0" applyProtection="0"/>
    <xf numFmtId="0" fontId="198" fillId="13" borderId="0" applyNumberFormat="0" applyBorder="0" applyAlignment="0" applyProtection="0"/>
    <xf numFmtId="0" fontId="199" fillId="14" borderId="0" applyNumberFormat="0" applyBorder="0" applyAlignment="0" applyProtection="0"/>
    <xf numFmtId="0" fontId="199" fillId="15" borderId="0" applyNumberFormat="0" applyBorder="0" applyAlignment="0" applyProtection="0"/>
    <xf numFmtId="0" fontId="199" fillId="16" borderId="0" applyNumberFormat="0" applyBorder="0" applyAlignment="0" applyProtection="0"/>
    <xf numFmtId="0" fontId="199" fillId="17" borderId="0" applyNumberFormat="0" applyBorder="0" applyAlignment="0" applyProtection="0"/>
    <xf numFmtId="0" fontId="199" fillId="18" borderId="0" applyNumberFormat="0" applyBorder="0" applyAlignment="0" applyProtection="0"/>
    <xf numFmtId="0" fontId="199" fillId="19" borderId="0" applyNumberFormat="0" applyBorder="0" applyAlignment="0" applyProtection="0"/>
    <xf numFmtId="0" fontId="199" fillId="20" borderId="0" applyNumberFormat="0" applyBorder="0" applyAlignment="0" applyProtection="0"/>
    <xf numFmtId="0" fontId="199" fillId="21" borderId="0" applyNumberFormat="0" applyBorder="0" applyAlignment="0" applyProtection="0"/>
    <xf numFmtId="0" fontId="199" fillId="22" borderId="0" applyNumberFormat="0" applyBorder="0" applyAlignment="0" applyProtection="0"/>
    <xf numFmtId="0" fontId="199" fillId="23" borderId="0" applyNumberFormat="0" applyBorder="0" applyAlignment="0" applyProtection="0"/>
    <xf numFmtId="0" fontId="199" fillId="24" borderId="0" applyNumberFormat="0" applyBorder="0" applyAlignment="0" applyProtection="0"/>
    <xf numFmtId="0" fontId="199" fillId="25" borderId="0" applyNumberFormat="0" applyBorder="0" applyAlignment="0" applyProtection="0"/>
    <xf numFmtId="0" fontId="200" fillId="26" borderId="1" applyNumberFormat="0" applyAlignment="0" applyProtection="0"/>
    <xf numFmtId="0" fontId="201" fillId="27" borderId="2" applyNumberFormat="0" applyAlignment="0" applyProtection="0"/>
    <xf numFmtId="0" fontId="20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3" fillId="0" borderId="3" applyNumberFormat="0" applyFill="0" applyAlignment="0" applyProtection="0"/>
    <xf numFmtId="0" fontId="204" fillId="0" borderId="4" applyNumberFormat="0" applyFill="0" applyAlignment="0" applyProtection="0"/>
    <xf numFmtId="0" fontId="205" fillId="0" borderId="5" applyNumberFormat="0" applyFill="0" applyAlignment="0" applyProtection="0"/>
    <xf numFmtId="0" fontId="205" fillId="0" borderId="0" applyNumberFormat="0" applyFill="0" applyBorder="0" applyAlignment="0" applyProtection="0"/>
    <xf numFmtId="0" fontId="206" fillId="0" borderId="6" applyNumberFormat="0" applyFill="0" applyAlignment="0" applyProtection="0"/>
    <xf numFmtId="0" fontId="207" fillId="28" borderId="7" applyNumberFormat="0" applyAlignment="0" applyProtection="0"/>
    <xf numFmtId="0" fontId="208" fillId="0" borderId="0" applyNumberFormat="0" applyFill="0" applyBorder="0" applyAlignment="0" applyProtection="0"/>
    <xf numFmtId="0" fontId="20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0" fillId="0" borderId="0" applyNumberFormat="0" applyFill="0" applyBorder="0" applyAlignment="0" applyProtection="0"/>
    <xf numFmtId="0" fontId="211" fillId="30" borderId="0" applyNumberFormat="0" applyBorder="0" applyAlignment="0" applyProtection="0"/>
    <xf numFmtId="0" fontId="21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3" fillId="0" borderId="9" applyNumberFormat="0" applyFill="0" applyAlignment="0" applyProtection="0"/>
    <xf numFmtId="0" fontId="2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5" fillId="32" borderId="0" applyNumberFormat="0" applyBorder="0" applyAlignment="0" applyProtection="0"/>
  </cellStyleXfs>
  <cellXfs count="109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4" fillId="0" borderId="12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7" fillId="0" borderId="12" xfId="0" applyFont="1" applyFill="1" applyBorder="1" applyAlignment="1" applyProtection="1">
      <alignment horizontal="left" vertical="top" indent="1"/>
      <protection hidden="1"/>
    </xf>
    <xf numFmtId="0" fontId="28" fillId="0" borderId="0" xfId="0" applyFont="1" applyFill="1" applyBorder="1" applyAlignment="1" applyProtection="1">
      <alignment horizontal="left" vertical="top" indent="1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3" fontId="30" fillId="0" borderId="0" xfId="0" applyNumberFormat="1" applyFont="1" applyFill="1" applyBorder="1" applyAlignment="1" applyProtection="1">
      <alignment vertical="top"/>
      <protection hidden="1"/>
    </xf>
    <xf numFmtId="3" fontId="31" fillId="0" borderId="0" xfId="0" applyNumberFormat="1" applyFont="1" applyFill="1" applyBorder="1" applyAlignment="1" applyProtection="1">
      <alignment horizontal="left" vertical="top" indent="1"/>
      <protection hidden="1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36" borderId="12" xfId="0" applyFill="1" applyBorder="1" applyAlignment="1" applyProtection="1">
      <alignment/>
      <protection hidden="1"/>
    </xf>
    <xf numFmtId="0" fontId="14" fillId="0" borderId="15" xfId="0" applyFont="1" applyFill="1" applyBorder="1" applyAlignment="1" applyProtection="1">
      <alignment horizontal="center" vertical="top"/>
      <protection hidden="1"/>
    </xf>
    <xf numFmtId="164" fontId="33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3" fillId="0" borderId="12" xfId="0" applyFont="1" applyFill="1" applyBorder="1" applyAlignment="1" applyProtection="1">
      <alignment/>
      <protection hidden="1"/>
    </xf>
    <xf numFmtId="164" fontId="33" fillId="33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35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7" borderId="0" xfId="0" applyFont="1" applyFill="1" applyAlignment="1" applyProtection="1">
      <alignment horizontal="center"/>
      <protection hidden="1"/>
    </xf>
    <xf numFmtId="0" fontId="38" fillId="37" borderId="0" xfId="0" applyFont="1" applyFill="1" applyBorder="1" applyAlignment="1" applyProtection="1">
      <alignment vertical="top"/>
      <protection hidden="1"/>
    </xf>
    <xf numFmtId="1" fontId="19" fillId="38" borderId="14" xfId="0" applyNumberFormat="1" applyFont="1" applyFill="1" applyBorder="1" applyAlignment="1" applyProtection="1">
      <alignment horizontal="left" vertical="center" indent="1"/>
      <protection locked="0"/>
    </xf>
    <xf numFmtId="0" fontId="39" fillId="36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5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vertical="top" wrapText="1"/>
      <protection hidden="1"/>
    </xf>
    <xf numFmtId="0" fontId="19" fillId="0" borderId="13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1" fontId="19" fillId="38" borderId="14" xfId="0" applyNumberFormat="1" applyFont="1" applyFill="1" applyBorder="1" applyAlignment="1" applyProtection="1">
      <alignment horizontal="center" vertical="center"/>
      <protection locked="0"/>
    </xf>
    <xf numFmtId="0" fontId="39" fillId="36" borderId="0" xfId="0" applyFont="1" applyFill="1" applyAlignment="1" applyProtection="1">
      <alignment horizontal="left" indent="1"/>
      <protection hidden="1"/>
    </xf>
    <xf numFmtId="0" fontId="23" fillId="0" borderId="12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45" fillId="0" borderId="0" xfId="0" applyFont="1" applyFill="1" applyBorder="1" applyAlignment="1" applyProtection="1">
      <alignment horizontal="right" vertical="top"/>
      <protection hidden="1"/>
    </xf>
    <xf numFmtId="0" fontId="14" fillId="0" borderId="17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vertical="top"/>
      <protection hidden="1"/>
    </xf>
    <xf numFmtId="0" fontId="23" fillId="0" borderId="12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3" fillId="0" borderId="13" xfId="0" applyFont="1" applyFill="1" applyBorder="1" applyAlignment="1" applyProtection="1">
      <alignment vertical="top" wrapText="1"/>
      <protection hidden="1"/>
    </xf>
    <xf numFmtId="1" fontId="46" fillId="0" borderId="0" xfId="0" applyNumberFormat="1" applyFont="1" applyFill="1" applyBorder="1" applyAlignment="1" applyProtection="1">
      <alignment horizontal="center" vertical="top"/>
      <protection locked="0"/>
    </xf>
    <xf numFmtId="0" fontId="47" fillId="0" borderId="12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left" vertical="top" indent="1"/>
      <protection hidden="1"/>
    </xf>
    <xf numFmtId="0" fontId="42" fillId="0" borderId="0" xfId="0" applyFont="1" applyFill="1" applyBorder="1" applyAlignment="1" applyProtection="1">
      <alignment vertical="top"/>
      <protection hidden="1"/>
    </xf>
    <xf numFmtId="0" fontId="42" fillId="0" borderId="13" xfId="0" applyFont="1" applyFill="1" applyBorder="1" applyAlignment="1" applyProtection="1">
      <alignment vertical="top"/>
      <protection hidden="1"/>
    </xf>
    <xf numFmtId="1" fontId="20" fillId="33" borderId="14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18" fillId="0" borderId="12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3" xfId="0" applyFont="1" applyFill="1" applyBorder="1" applyAlignment="1" applyProtection="1">
      <alignment vertical="top"/>
      <protection hidden="1"/>
    </xf>
    <xf numFmtId="1" fontId="20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0" fillId="35" borderId="13" xfId="0" applyFont="1" applyFill="1" applyBorder="1" applyAlignment="1" applyProtection="1">
      <alignment horizontal="center" vertical="top" wrapText="1"/>
      <protection hidden="1"/>
    </xf>
    <xf numFmtId="0" fontId="51" fillId="34" borderId="0" xfId="0" applyFont="1" applyFill="1" applyBorder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 horizontal="left" vertical="top"/>
      <protection hidden="1"/>
    </xf>
    <xf numFmtId="0" fontId="53" fillId="0" borderId="18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5"/>
      <protection hidden="1"/>
    </xf>
    <xf numFmtId="0" fontId="19" fillId="0" borderId="12" xfId="0" applyFont="1" applyBorder="1" applyAlignment="1" applyProtection="1">
      <alignment horizontal="left" vertical="top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1"/>
      <protection hidden="1"/>
    </xf>
    <xf numFmtId="0" fontId="20" fillId="0" borderId="13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5" fillId="0" borderId="0" xfId="0" applyFont="1" applyBorder="1" applyAlignment="1" applyProtection="1">
      <alignment/>
      <protection hidden="1"/>
    </xf>
    <xf numFmtId="0" fontId="55" fillId="0" borderId="13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left" indent="1"/>
      <protection hidden="1"/>
    </xf>
    <xf numFmtId="0" fontId="18" fillId="0" borderId="12" xfId="0" applyFont="1" applyFill="1" applyBorder="1" applyAlignment="1" applyProtection="1">
      <alignment horizontal="left" vertical="top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left"/>
      <protection hidden="1"/>
    </xf>
    <xf numFmtId="1" fontId="58" fillId="0" borderId="0" xfId="0" applyNumberFormat="1" applyFont="1" applyBorder="1" applyAlignment="1" applyProtection="1">
      <alignment horizontal="center"/>
      <protection hidden="1"/>
    </xf>
    <xf numFmtId="1" fontId="56" fillId="0" borderId="0" xfId="0" applyNumberFormat="1" applyFont="1" applyBorder="1" applyAlignment="1" applyProtection="1">
      <alignment horizontal="right"/>
      <protection hidden="1"/>
    </xf>
    <xf numFmtId="1" fontId="59" fillId="0" borderId="0" xfId="0" applyNumberFormat="1" applyFont="1" applyBorder="1" applyAlignment="1" applyProtection="1">
      <alignment horizontal="left"/>
      <protection hidden="1"/>
    </xf>
    <xf numFmtId="1" fontId="59" fillId="0" borderId="13" xfId="0" applyNumberFormat="1" applyFont="1" applyFill="1" applyBorder="1" applyAlignment="1" applyProtection="1">
      <alignment horizontal="left"/>
      <protection hidden="1"/>
    </xf>
    <xf numFmtId="1" fontId="59" fillId="0" borderId="0" xfId="0" applyNumberFormat="1" applyFont="1" applyFill="1" applyBorder="1" applyAlignment="1" applyProtection="1">
      <alignment horizontal="left"/>
      <protection hidden="1"/>
    </xf>
    <xf numFmtId="0" fontId="19" fillId="35" borderId="19" xfId="0" applyFont="1" applyFill="1" applyBorder="1" applyAlignment="1" applyProtection="1">
      <alignment horizontal="center" vertical="top"/>
      <protection hidden="1"/>
    </xf>
    <xf numFmtId="0" fontId="37" fillId="0" borderId="0" xfId="0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right"/>
      <protection hidden="1"/>
    </xf>
    <xf numFmtId="0" fontId="56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1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61" fillId="0" borderId="0" xfId="42" applyFont="1" applyFill="1" applyAlignment="1" applyProtection="1">
      <alignment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1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61" fillId="0" borderId="0" xfId="42" applyFont="1" applyFill="1" applyBorder="1" applyAlignment="1" applyProtection="1">
      <alignment vertical="center"/>
      <protection hidden="1"/>
    </xf>
    <xf numFmtId="0" fontId="0" fillId="40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6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4" fillId="0" borderId="0" xfId="0" applyFont="1" applyBorder="1" applyAlignment="1" applyProtection="1">
      <alignment horizontal="right" wrapText="1"/>
      <protection hidden="1"/>
    </xf>
    <xf numFmtId="0" fontId="77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78" fillId="0" borderId="14" xfId="0" applyFont="1" applyBorder="1" applyAlignment="1" applyProtection="1">
      <alignment/>
      <protection hidden="1"/>
    </xf>
    <xf numFmtId="0" fontId="81" fillId="0" borderId="0" xfId="0" applyFont="1" applyBorder="1" applyAlignment="1" applyProtection="1">
      <alignment horizontal="left" vertical="top"/>
      <protection hidden="1"/>
    </xf>
    <xf numFmtId="0" fontId="81" fillId="0" borderId="0" xfId="0" applyFont="1" applyBorder="1" applyAlignment="1" applyProtection="1">
      <alignment horizontal="center" vertical="top"/>
      <protection hidden="1"/>
    </xf>
    <xf numFmtId="0" fontId="83" fillId="38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4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8" fillId="0" borderId="0" xfId="0" applyFont="1" applyAlignment="1" applyProtection="1">
      <alignment/>
      <protection hidden="1"/>
    </xf>
    <xf numFmtId="0" fontId="75" fillId="0" borderId="0" xfId="0" applyFont="1" applyBorder="1" applyAlignment="1" applyProtection="1">
      <alignment vertical="top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84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43" fillId="0" borderId="0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vertical="top"/>
      <protection hidden="1"/>
    </xf>
    <xf numFmtId="0" fontId="76" fillId="0" borderId="0" xfId="0" applyFont="1" applyAlignment="1" applyProtection="1">
      <alignment vertical="top" wrapText="1"/>
      <protection hidden="1"/>
    </xf>
    <xf numFmtId="0" fontId="76" fillId="0" borderId="0" xfId="0" applyFont="1" applyBorder="1" applyAlignment="1" applyProtection="1">
      <alignment vertical="top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38" borderId="14" xfId="0" applyFont="1" applyFill="1" applyBorder="1" applyAlignment="1" applyProtection="1">
      <alignment horizontal="center" vertical="center"/>
      <protection locked="0"/>
    </xf>
    <xf numFmtId="0" fontId="19" fillId="33" borderId="22" xfId="0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left" indent="1"/>
      <protection hidden="1"/>
    </xf>
    <xf numFmtId="0" fontId="93" fillId="0" borderId="17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indent="1"/>
      <protection hidden="1"/>
    </xf>
    <xf numFmtId="3" fontId="75" fillId="0" borderId="0" xfId="0" applyNumberFormat="1" applyFont="1" applyAlignment="1" applyProtection="1">
      <alignment vertical="top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7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80" fillId="0" borderId="0" xfId="0" applyFont="1" applyAlignment="1" applyProtection="1">
      <alignment horizontal="left"/>
      <protection hidden="1"/>
    </xf>
    <xf numFmtId="0" fontId="72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4" fillId="33" borderId="0" xfId="0" applyFont="1" applyFill="1" applyBorder="1" applyAlignment="1" applyProtection="1">
      <alignment vertical="center"/>
      <protection hidden="1"/>
    </xf>
    <xf numFmtId="0" fontId="74" fillId="0" borderId="13" xfId="0" applyFont="1" applyBorder="1" applyAlignment="1" applyProtection="1">
      <alignment horizontal="right" vertical="center"/>
      <protection hidden="1"/>
    </xf>
    <xf numFmtId="0" fontId="74" fillId="34" borderId="23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 vertical="center"/>
      <protection hidden="1"/>
    </xf>
    <xf numFmtId="0" fontId="74" fillId="34" borderId="22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/>
      <protection hidden="1"/>
    </xf>
    <xf numFmtId="0" fontId="74" fillId="33" borderId="20" xfId="0" applyFont="1" applyFill="1" applyBorder="1" applyAlignment="1" applyProtection="1">
      <alignment vertical="center"/>
      <protection hidden="1"/>
    </xf>
    <xf numFmtId="0" fontId="74" fillId="33" borderId="24" xfId="0" applyFont="1" applyFill="1" applyBorder="1" applyAlignment="1" applyProtection="1">
      <alignment/>
      <protection hidden="1"/>
    </xf>
    <xf numFmtId="0" fontId="72" fillId="0" borderId="23" xfId="0" applyFont="1" applyBorder="1" applyAlignment="1" applyProtection="1">
      <alignment vertical="center"/>
      <protection hidden="1"/>
    </xf>
    <xf numFmtId="0" fontId="72" fillId="0" borderId="22" xfId="0" applyFont="1" applyBorder="1" applyAlignment="1" applyProtection="1">
      <alignment horizontal="right" vertical="center"/>
      <protection hidden="1"/>
    </xf>
    <xf numFmtId="0" fontId="72" fillId="0" borderId="17" xfId="0" applyFont="1" applyBorder="1" applyAlignment="1" applyProtection="1">
      <alignment horizontal="left" vertical="center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34" fillId="0" borderId="0" xfId="0" applyFont="1" applyBorder="1" applyAlignment="1">
      <alignment horizontal="center" vertical="center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34" fillId="0" borderId="15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6" fillId="0" borderId="0" xfId="0" applyFont="1" applyAlignment="1" applyProtection="1">
      <alignment horizontal="center"/>
      <protection hidden="1"/>
    </xf>
    <xf numFmtId="0" fontId="216" fillId="0" borderId="0" xfId="0" applyFont="1" applyAlignment="1" applyProtection="1">
      <alignment/>
      <protection hidden="1"/>
    </xf>
    <xf numFmtId="0" fontId="217" fillId="33" borderId="17" xfId="0" applyFont="1" applyFill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6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92" fillId="0" borderId="0" xfId="0" applyFont="1" applyBorder="1" applyAlignment="1" applyProtection="1">
      <alignment horizontal="center" vertical="center"/>
      <protection hidden="1"/>
    </xf>
    <xf numFmtId="49" fontId="87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36" fillId="36" borderId="17" xfId="0" applyFont="1" applyFill="1" applyBorder="1" applyAlignment="1" applyProtection="1">
      <alignment horizontal="center" vertical="center"/>
      <protection hidden="1"/>
    </xf>
    <xf numFmtId="0" fontId="36" fillId="41" borderId="17" xfId="0" applyFont="1" applyFill="1" applyBorder="1" applyAlignment="1" applyProtection="1">
      <alignment horizontal="center" vertical="center"/>
      <protection hidden="1"/>
    </xf>
    <xf numFmtId="0" fontId="217" fillId="42" borderId="17" xfId="0" applyFont="1" applyFill="1" applyBorder="1" applyAlignment="1" applyProtection="1">
      <alignment horizontal="center"/>
      <protection hidden="1"/>
    </xf>
    <xf numFmtId="0" fontId="36" fillId="36" borderId="0" xfId="0" applyFont="1" applyFill="1" applyAlignment="1" applyProtection="1">
      <alignment horizontal="right" vertical="center"/>
      <protection hidden="1"/>
    </xf>
    <xf numFmtId="0" fontId="85" fillId="0" borderId="0" xfId="0" applyFont="1" applyAlignment="1" applyProtection="1">
      <alignment horizontal="left" vertical="top" indent="1"/>
      <protection hidden="1"/>
    </xf>
    <xf numFmtId="0" fontId="85" fillId="0" borderId="14" xfId="0" applyFont="1" applyBorder="1" applyAlignment="1" applyProtection="1">
      <alignment horizontal="left" vertical="top" indent="1"/>
      <protection hidden="1"/>
    </xf>
    <xf numFmtId="0" fontId="8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5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6" fillId="0" borderId="0" xfId="0" applyFont="1" applyBorder="1" applyAlignment="1" applyProtection="1">
      <alignment horizontal="left" wrapText="1"/>
      <protection hidden="1"/>
    </xf>
    <xf numFmtId="0" fontId="216" fillId="0" borderId="0" xfId="0" applyFont="1" applyAlignment="1" applyProtection="1">
      <alignment horizontal="left"/>
      <protection hidden="1"/>
    </xf>
    <xf numFmtId="0" fontId="36" fillId="42" borderId="23" xfId="0" applyFont="1" applyFill="1" applyBorder="1" applyAlignment="1" applyProtection="1">
      <alignment horizontal="center" vertical="center"/>
      <protection hidden="1"/>
    </xf>
    <xf numFmtId="0" fontId="217" fillId="0" borderId="0" xfId="0" applyFont="1" applyFill="1" applyBorder="1" applyAlignment="1" applyProtection="1">
      <alignment horizontal="right"/>
      <protection hidden="1"/>
    </xf>
    <xf numFmtId="0" fontId="217" fillId="0" borderId="0" xfId="0" applyFont="1" applyFill="1" applyBorder="1" applyAlignment="1" applyProtection="1">
      <alignment horizontal="left"/>
      <protection hidden="1"/>
    </xf>
    <xf numFmtId="0" fontId="216" fillId="0" borderId="14" xfId="0" applyFont="1" applyBorder="1" applyAlignment="1" applyProtection="1">
      <alignment horizontal="right"/>
      <protection hidden="1"/>
    </xf>
    <xf numFmtId="0" fontId="216" fillId="0" borderId="14" xfId="0" applyFont="1" applyBorder="1" applyAlignment="1" applyProtection="1">
      <alignment horizontal="left"/>
      <protection hidden="1"/>
    </xf>
    <xf numFmtId="0" fontId="0" fillId="37" borderId="0" xfId="0" applyFill="1" applyAlignment="1" applyProtection="1">
      <alignment/>
      <protection hidden="1"/>
    </xf>
    <xf numFmtId="0" fontId="36" fillId="37" borderId="0" xfId="0" applyFont="1" applyFill="1" applyAlignment="1" applyProtection="1">
      <alignment horizontal="center"/>
      <protection hidden="1"/>
    </xf>
    <xf numFmtId="0" fontId="98" fillId="0" borderId="0" xfId="0" applyFont="1" applyAlignment="1">
      <alignment horizontal="left" vertical="top" wrapText="1"/>
    </xf>
    <xf numFmtId="0" fontId="75" fillId="0" borderId="0" xfId="0" applyFont="1" applyBorder="1" applyAlignment="1" applyProtection="1">
      <alignment horizontal="left" vertical="top" indent="1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49" fontId="0" fillId="0" borderId="26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4" fillId="0" borderId="22" xfId="0" applyFont="1" applyBorder="1" applyAlignment="1" applyProtection="1">
      <alignment vertical="top"/>
      <protection hidden="1"/>
    </xf>
    <xf numFmtId="0" fontId="61" fillId="34" borderId="0" xfId="42" applyFont="1" applyFill="1" applyBorder="1" applyAlignment="1" applyProtection="1">
      <alignment vertical="top"/>
      <protection hidden="1"/>
    </xf>
    <xf numFmtId="0" fontId="218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 vertical="top"/>
      <protection hidden="1"/>
    </xf>
    <xf numFmtId="0" fontId="76" fillId="0" borderId="0" xfId="0" applyFont="1" applyAlignment="1" applyProtection="1">
      <alignment horizontal="justify" vertical="top" wrapText="1"/>
      <protection hidden="1"/>
    </xf>
    <xf numFmtId="0" fontId="92" fillId="0" borderId="0" xfId="0" applyFont="1" applyAlignment="1" applyProtection="1">
      <alignment horizontal="left" vertical="center"/>
      <protection hidden="1"/>
    </xf>
    <xf numFmtId="0" fontId="219" fillId="0" borderId="0" xfId="0" applyFont="1" applyAlignment="1" applyProtection="1">
      <alignment/>
      <protection hidden="1"/>
    </xf>
    <xf numFmtId="0" fontId="36" fillId="40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3" borderId="17" xfId="0" applyFont="1" applyFill="1" applyBorder="1" applyAlignment="1" applyProtection="1">
      <alignment horizontal="left"/>
      <protection hidden="1"/>
    </xf>
    <xf numFmtId="17" fontId="73" fillId="44" borderId="0" xfId="0" applyNumberFormat="1" applyFont="1" applyFill="1" applyAlignment="1" applyProtection="1">
      <alignment vertical="top"/>
      <protection hidden="1"/>
    </xf>
    <xf numFmtId="0" fontId="220" fillId="0" borderId="0" xfId="0" applyFont="1" applyAlignment="1" applyProtection="1">
      <alignment/>
      <protection hidden="1"/>
    </xf>
    <xf numFmtId="0" fontId="221" fillId="38" borderId="0" xfId="54" applyFont="1" applyFill="1" applyBorder="1" applyAlignment="1" applyProtection="1">
      <alignment vertical="center"/>
      <protection hidden="1"/>
    </xf>
    <xf numFmtId="0" fontId="221" fillId="35" borderId="0" xfId="54" applyFont="1" applyFill="1" applyBorder="1" applyAlignment="1" applyProtection="1">
      <alignment vertical="center"/>
      <protection hidden="1"/>
    </xf>
    <xf numFmtId="0" fontId="221" fillId="45" borderId="0" xfId="54" applyFont="1" applyFill="1" applyBorder="1" applyAlignment="1" applyProtection="1">
      <alignment vertical="center"/>
      <protection hidden="1"/>
    </xf>
    <xf numFmtId="0" fontId="222" fillId="0" borderId="0" xfId="0" applyFont="1" applyFill="1" applyBorder="1" applyAlignment="1" applyProtection="1">
      <alignment/>
      <protection hidden="1"/>
    </xf>
    <xf numFmtId="0" fontId="222" fillId="46" borderId="0" xfId="0" applyFont="1" applyFill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horizontal="center" vertical="center"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219" fillId="0" borderId="0" xfId="0" applyFont="1" applyBorder="1" applyAlignment="1" applyProtection="1">
      <alignment/>
      <protection hidden="1"/>
    </xf>
    <xf numFmtId="0" fontId="36" fillId="42" borderId="17" xfId="0" applyFont="1" applyFill="1" applyBorder="1" applyAlignment="1" applyProtection="1">
      <alignment horizontal="center" vertical="center"/>
      <protection hidden="1"/>
    </xf>
    <xf numFmtId="0" fontId="35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79" fillId="0" borderId="21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23" fillId="5" borderId="0" xfId="0" applyFont="1" applyFill="1" applyBorder="1" applyAlignment="1" applyProtection="1">
      <alignment horizontal="left" indent="2"/>
      <protection hidden="1"/>
    </xf>
    <xf numFmtId="0" fontId="36" fillId="0" borderId="22" xfId="0" applyFont="1" applyBorder="1" applyAlignment="1" applyProtection="1">
      <alignment vertical="top"/>
      <protection hidden="1"/>
    </xf>
    <xf numFmtId="0" fontId="224" fillId="0" borderId="0" xfId="0" applyFont="1" applyFill="1" applyBorder="1" applyAlignment="1" applyProtection="1">
      <alignment vertical="top"/>
      <protection/>
    </xf>
    <xf numFmtId="0" fontId="99" fillId="41" borderId="0" xfId="0" applyFont="1" applyFill="1" applyAlignment="1">
      <alignment/>
    </xf>
    <xf numFmtId="0" fontId="225" fillId="41" borderId="0" xfId="0" applyFont="1" applyFill="1" applyAlignment="1">
      <alignment/>
    </xf>
    <xf numFmtId="0" fontId="35" fillId="0" borderId="0" xfId="0" applyFont="1" applyBorder="1" applyAlignment="1" applyProtection="1">
      <alignment horizontal="left" indent="1"/>
      <protection hidden="1"/>
    </xf>
    <xf numFmtId="0" fontId="46" fillId="0" borderId="14" xfId="0" applyFont="1" applyBorder="1" applyAlignment="1" applyProtection="1">
      <alignment horizontal="left" indent="1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hidden="1"/>
    </xf>
    <xf numFmtId="0" fontId="100" fillId="41" borderId="0" xfId="0" applyFont="1" applyFill="1" applyAlignment="1">
      <alignment/>
    </xf>
    <xf numFmtId="0" fontId="226" fillId="41" borderId="0" xfId="0" applyFont="1" applyFill="1" applyAlignment="1">
      <alignment/>
    </xf>
    <xf numFmtId="0" fontId="46" fillId="0" borderId="14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7" borderId="0" xfId="0" applyFont="1" applyFill="1" applyAlignment="1" applyProtection="1">
      <alignment/>
      <protection hidden="1"/>
    </xf>
    <xf numFmtId="0" fontId="35" fillId="37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27" fillId="33" borderId="12" xfId="0" applyFont="1" applyFill="1" applyBorder="1" applyAlignment="1" applyProtection="1">
      <alignment vertical="center"/>
      <protection hidden="1"/>
    </xf>
    <xf numFmtId="0" fontId="44" fillId="33" borderId="12" xfId="0" applyFont="1" applyFill="1" applyBorder="1" applyAlignment="1" applyProtection="1">
      <alignment vertical="center"/>
      <protection hidden="1"/>
    </xf>
    <xf numFmtId="0" fontId="228" fillId="33" borderId="12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220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9" fillId="33" borderId="0" xfId="0" applyFont="1" applyFill="1" applyBorder="1" applyAlignment="1" applyProtection="1">
      <alignment horizontal="center"/>
      <protection hidden="1"/>
    </xf>
    <xf numFmtId="0" fontId="35" fillId="47" borderId="14" xfId="0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>
      <alignment horizontal="left" indent="1"/>
    </xf>
    <xf numFmtId="0" fontId="13" fillId="0" borderId="0" xfId="0" applyFont="1" applyAlignment="1" applyProtection="1">
      <alignment horizontal="left"/>
      <protection hidden="1"/>
    </xf>
    <xf numFmtId="0" fontId="216" fillId="37" borderId="0" xfId="0" applyFont="1" applyFill="1" applyAlignment="1" applyProtection="1">
      <alignment horizontal="right"/>
      <protection hidden="1"/>
    </xf>
    <xf numFmtId="0" fontId="216" fillId="0" borderId="0" xfId="0" applyFont="1" applyFill="1" applyAlignment="1" applyProtection="1">
      <alignment horizontal="right"/>
      <protection hidden="1"/>
    </xf>
    <xf numFmtId="0" fontId="220" fillId="0" borderId="0" xfId="0" applyFont="1" applyAlignment="1" applyProtection="1">
      <alignment horizontal="center" vertical="center"/>
      <protection hidden="1"/>
    </xf>
    <xf numFmtId="0" fontId="229" fillId="3" borderId="0" xfId="0" applyFont="1" applyFill="1" applyAlignment="1" applyProtection="1">
      <alignment horizontal="center"/>
      <protection hidden="1"/>
    </xf>
    <xf numFmtId="0" fontId="43" fillId="48" borderId="11" xfId="0" applyFont="1" applyFill="1" applyBorder="1" applyAlignment="1" applyProtection="1">
      <alignment horizontal="center"/>
      <protection hidden="1"/>
    </xf>
    <xf numFmtId="0" fontId="43" fillId="0" borderId="27" xfId="0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6" fillId="0" borderId="0" xfId="0" applyFont="1" applyFill="1" applyAlignment="1" applyProtection="1">
      <alignment horizontal="left"/>
      <protection hidden="1"/>
    </xf>
    <xf numFmtId="0" fontId="220" fillId="0" borderId="0" xfId="0" applyFont="1" applyBorder="1" applyAlignment="1" applyProtection="1">
      <alignment horizontal="right" vertical="center"/>
      <protection hidden="1"/>
    </xf>
    <xf numFmtId="0" fontId="220" fillId="0" borderId="0" xfId="0" applyFont="1" applyBorder="1" applyAlignment="1" applyProtection="1">
      <alignment horizontal="left" vertical="center"/>
      <protection hidden="1"/>
    </xf>
    <xf numFmtId="0" fontId="230" fillId="0" borderId="0" xfId="0" applyFont="1" applyBorder="1" applyAlignment="1" applyProtection="1">
      <alignment horizontal="right" vertical="center"/>
      <protection hidden="1"/>
    </xf>
    <xf numFmtId="0" fontId="230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34" fillId="0" borderId="17" xfId="0" applyFont="1" applyBorder="1" applyAlignment="1" applyProtection="1">
      <alignment vertical="top" wrapText="1"/>
      <protection hidden="1"/>
    </xf>
    <xf numFmtId="0" fontId="36" fillId="0" borderId="17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231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5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86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top"/>
      <protection hidden="1"/>
    </xf>
    <xf numFmtId="14" fontId="13" fillId="36" borderId="12" xfId="0" applyNumberFormat="1" applyFont="1" applyFill="1" applyBorder="1" applyAlignment="1" applyProtection="1">
      <alignment/>
      <protection hidden="1"/>
    </xf>
    <xf numFmtId="164" fontId="35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2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3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4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6" fillId="37" borderId="0" xfId="0" applyFont="1" applyFill="1" applyAlignment="1" applyProtection="1">
      <alignment horizontal="center"/>
      <protection hidden="1"/>
    </xf>
    <xf numFmtId="0" fontId="235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3" xfId="0" applyFont="1" applyFill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23" fillId="5" borderId="0" xfId="0" applyFont="1" applyFill="1" applyBorder="1" applyAlignment="1" applyProtection="1">
      <alignment horizontal="left"/>
      <protection hidden="1"/>
    </xf>
    <xf numFmtId="0" fontId="34" fillId="0" borderId="12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8" fillId="49" borderId="12" xfId="0" applyFont="1" applyFill="1" applyBorder="1" applyAlignment="1" applyProtection="1">
      <alignment horizontal="left" vertical="top" indent="1"/>
      <protection hidden="1"/>
    </xf>
    <xf numFmtId="0" fontId="4" fillId="34" borderId="11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4" borderId="11" xfId="0" applyFont="1" applyFill="1" applyBorder="1" applyAlignment="1" applyProtection="1">
      <alignment horizontal="left" vertical="top"/>
      <protection hidden="1"/>
    </xf>
    <xf numFmtId="0" fontId="236" fillId="49" borderId="0" xfId="0" applyFont="1" applyFill="1" applyBorder="1" applyAlignment="1" applyProtection="1">
      <alignment horizontal="center" vertical="center"/>
      <protection hidden="1"/>
    </xf>
    <xf numFmtId="0" fontId="236" fillId="49" borderId="0" xfId="0" applyFont="1" applyFill="1" applyBorder="1" applyAlignment="1" applyProtection="1">
      <alignment horizontal="center" vertical="top"/>
      <protection hidden="1"/>
    </xf>
    <xf numFmtId="0" fontId="19" fillId="49" borderId="13" xfId="0" applyFont="1" applyFill="1" applyBorder="1" applyAlignment="1" applyProtection="1">
      <alignment vertical="top"/>
      <protection hidden="1"/>
    </xf>
    <xf numFmtId="0" fontId="0" fillId="49" borderId="13" xfId="0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 wrapText="1"/>
      <protection hidden="1"/>
    </xf>
    <xf numFmtId="0" fontId="237" fillId="0" borderId="12" xfId="0" applyFont="1" applyBorder="1" applyAlignment="1" applyProtection="1">
      <alignment horizontal="left"/>
      <protection hidden="1"/>
    </xf>
    <xf numFmtId="0" fontId="235" fillId="50" borderId="0" xfId="0" applyFont="1" applyFill="1" applyAlignment="1" applyProtection="1">
      <alignment horizontal="left"/>
      <protection hidden="1"/>
    </xf>
    <xf numFmtId="0" fontId="238" fillId="49" borderId="20" xfId="0" applyFont="1" applyFill="1" applyBorder="1" applyAlignment="1" applyProtection="1">
      <alignment horizontal="center" vertical="center" wrapText="1"/>
      <protection hidden="1"/>
    </xf>
    <xf numFmtId="0" fontId="237" fillId="0" borderId="0" xfId="0" applyFont="1" applyBorder="1" applyAlignment="1" applyProtection="1">
      <alignment/>
      <protection hidden="1"/>
    </xf>
    <xf numFmtId="0" fontId="239" fillId="49" borderId="0" xfId="0" applyFont="1" applyFill="1" applyAlignment="1" applyProtection="1">
      <alignment horizontal="right"/>
      <protection hidden="1"/>
    </xf>
    <xf numFmtId="0" fontId="240" fillId="0" borderId="0" xfId="0" applyFont="1" applyBorder="1" applyAlignment="1" applyProtection="1">
      <alignment horizontal="left" vertical="top" wrapText="1" indent="1"/>
      <protection hidden="1"/>
    </xf>
    <xf numFmtId="0" fontId="241" fillId="0" borderId="17" xfId="0" applyFont="1" applyBorder="1" applyAlignment="1" applyProtection="1">
      <alignment vertical="top" wrapText="1"/>
      <protection hidden="1"/>
    </xf>
    <xf numFmtId="0" fontId="13" fillId="0" borderId="17" xfId="0" applyFont="1" applyBorder="1" applyAlignment="1" applyProtection="1">
      <alignment vertical="top" wrapText="1"/>
      <protection hidden="1"/>
    </xf>
    <xf numFmtId="0" fontId="95" fillId="0" borderId="23" xfId="0" applyFont="1" applyBorder="1" applyAlignment="1" applyProtection="1">
      <alignment vertical="top" wrapText="1"/>
      <protection hidden="1"/>
    </xf>
    <xf numFmtId="0" fontId="74" fillId="3" borderId="13" xfId="0" applyFont="1" applyFill="1" applyBorder="1" applyAlignment="1" applyProtection="1">
      <alignment horizontal="left" vertical="center"/>
      <protection hidden="1"/>
    </xf>
    <xf numFmtId="0" fontId="109" fillId="3" borderId="0" xfId="0" applyFont="1" applyFill="1" applyBorder="1" applyAlignment="1" applyProtection="1">
      <alignment horizontal="left" vertical="top" indent="1"/>
      <protection hidden="1"/>
    </xf>
    <xf numFmtId="0" fontId="108" fillId="3" borderId="0" xfId="0" applyFont="1" applyFill="1" applyBorder="1" applyAlignment="1" applyProtection="1">
      <alignment horizontal="left" vertical="top" wrapText="1" inden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8" fillId="3" borderId="20" xfId="0" applyFont="1" applyFill="1" applyBorder="1" applyAlignment="1" applyProtection="1">
      <alignment horizontal="center" vertical="center" wrapText="1"/>
      <protection hidden="1"/>
    </xf>
    <xf numFmtId="0" fontId="235" fillId="0" borderId="0" xfId="0" applyFont="1" applyFill="1" applyAlignment="1" applyProtection="1">
      <alignment horizontal="center" vertical="top" wrapText="1"/>
      <protection hidden="1"/>
    </xf>
    <xf numFmtId="0" fontId="242" fillId="49" borderId="20" xfId="0" applyFont="1" applyFill="1" applyBorder="1" applyAlignment="1" applyProtection="1">
      <alignment horizontal="left" vertical="center"/>
      <protection hidden="1"/>
    </xf>
    <xf numFmtId="0" fontId="96" fillId="0" borderId="17" xfId="0" applyFont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241" fillId="0" borderId="29" xfId="0" applyFont="1" applyBorder="1" applyAlignment="1" applyProtection="1">
      <alignment vertical="top" wrapText="1"/>
      <protection hidden="1"/>
    </xf>
    <xf numFmtId="0" fontId="34" fillId="0" borderId="29" xfId="0" applyFont="1" applyBorder="1" applyAlignment="1" applyProtection="1">
      <alignment vertical="top" wrapText="1"/>
      <protection hidden="1"/>
    </xf>
    <xf numFmtId="0" fontId="13" fillId="0" borderId="29" xfId="0" applyFont="1" applyBorder="1" applyAlignment="1" applyProtection="1">
      <alignment vertical="top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96" fillId="0" borderId="0" xfId="0" applyFont="1" applyBorder="1" applyAlignment="1" applyProtection="1">
      <alignment horizontal="center" vertical="top" wrapText="1"/>
      <protection hidden="1"/>
    </xf>
    <xf numFmtId="0" fontId="95" fillId="0" borderId="0" xfId="0" applyFont="1" applyBorder="1" applyAlignment="1" applyProtection="1">
      <alignment vertical="top" wrapText="1"/>
      <protection hidden="1"/>
    </xf>
    <xf numFmtId="0" fontId="96" fillId="0" borderId="0" xfId="0" applyFont="1" applyBorder="1" applyAlignment="1" applyProtection="1">
      <alignment vertical="top" wrapText="1"/>
      <protection hidden="1"/>
    </xf>
    <xf numFmtId="0" fontId="241" fillId="0" borderId="0" xfId="0" applyFont="1" applyBorder="1" applyAlignment="1" applyProtection="1">
      <alignment vertical="top" wrapText="1"/>
      <protection hidden="1"/>
    </xf>
    <xf numFmtId="0" fontId="243" fillId="0" borderId="14" xfId="0" applyFont="1" applyBorder="1" applyAlignment="1" applyProtection="1">
      <alignment wrapText="1"/>
      <protection hidden="1"/>
    </xf>
    <xf numFmtId="0" fontId="102" fillId="37" borderId="24" xfId="0" applyFont="1" applyFill="1" applyBorder="1" applyAlignment="1" applyProtection="1">
      <alignment horizontal="center"/>
      <protection hidden="1"/>
    </xf>
    <xf numFmtId="0" fontId="243" fillId="0" borderId="22" xfId="0" applyFont="1" applyBorder="1" applyAlignment="1" applyProtection="1">
      <alignment wrapText="1"/>
      <protection hidden="1"/>
    </xf>
    <xf numFmtId="0" fontId="36" fillId="0" borderId="24" xfId="0" applyFont="1" applyBorder="1" applyAlignment="1" applyProtection="1">
      <alignment/>
      <protection hidden="1"/>
    </xf>
    <xf numFmtId="0" fontId="244" fillId="0" borderId="23" xfId="0" applyFont="1" applyBorder="1" applyAlignment="1" applyProtection="1">
      <alignment/>
      <protection hidden="1"/>
    </xf>
    <xf numFmtId="0" fontId="245" fillId="0" borderId="0" xfId="0" applyFont="1" applyAlignment="1" applyProtection="1">
      <alignment horizontal="right"/>
      <protection hidden="1"/>
    </xf>
    <xf numFmtId="0" fontId="246" fillId="0" borderId="0" xfId="0" applyFont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47" fillId="34" borderId="0" xfId="0" applyFont="1" applyFill="1" applyBorder="1" applyAlignment="1" applyProtection="1">
      <alignment horizontal="right"/>
      <protection hidden="1"/>
    </xf>
    <xf numFmtId="0" fontId="247" fillId="34" borderId="0" xfId="0" applyFont="1" applyFill="1" applyBorder="1" applyAlignment="1" applyProtection="1">
      <alignment horizontal="center"/>
      <protection hidden="1"/>
    </xf>
    <xf numFmtId="0" fontId="247" fillId="34" borderId="0" xfId="0" applyFont="1" applyFill="1" applyBorder="1" applyAlignment="1" applyProtection="1">
      <alignment/>
      <protection hidden="1"/>
    </xf>
    <xf numFmtId="0" fontId="247" fillId="34" borderId="11" xfId="0" applyFont="1" applyFill="1" applyBorder="1" applyAlignment="1" applyProtection="1">
      <alignment/>
      <protection hidden="1"/>
    </xf>
    <xf numFmtId="0" fontId="43" fillId="48" borderId="11" xfId="0" applyFont="1" applyFill="1" applyBorder="1" applyAlignment="1" applyProtection="1">
      <alignment horizontal="left"/>
      <protection hidden="1"/>
    </xf>
    <xf numFmtId="0" fontId="219" fillId="34" borderId="0" xfId="0" applyFont="1" applyFill="1" applyBorder="1" applyAlignment="1" applyProtection="1">
      <alignment horizontal="left" vertical="top"/>
      <protection hidden="1"/>
    </xf>
    <xf numFmtId="0" fontId="219" fillId="34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248" fillId="0" borderId="12" xfId="0" applyFont="1" applyFill="1" applyBorder="1" applyAlignment="1" applyProtection="1">
      <alignment horizontal="left" vertical="center" indent="1"/>
      <protection hidden="1"/>
    </xf>
    <xf numFmtId="0" fontId="249" fillId="0" borderId="0" xfId="0" applyFont="1" applyFill="1" applyBorder="1" applyAlignment="1" applyProtection="1">
      <alignment vertical="top"/>
      <protection hidden="1"/>
    </xf>
    <xf numFmtId="0" fontId="249" fillId="0" borderId="12" xfId="0" applyFont="1" applyFill="1" applyBorder="1" applyAlignment="1" applyProtection="1">
      <alignment horizontal="right" vertical="center" indent="1"/>
      <protection hidden="1"/>
    </xf>
    <xf numFmtId="0" fontId="250" fillId="33" borderId="14" xfId="0" applyFont="1" applyFill="1" applyBorder="1" applyAlignment="1" applyProtection="1">
      <alignment horizontal="center" vertical="top"/>
      <protection locked="0"/>
    </xf>
    <xf numFmtId="0" fontId="249" fillId="0" borderId="0" xfId="0" applyFont="1" applyFill="1" applyBorder="1" applyAlignment="1" applyProtection="1">
      <alignment horizontal="right" vertical="center" indent="1"/>
      <protection hidden="1"/>
    </xf>
    <xf numFmtId="0" fontId="251" fillId="0" borderId="0" xfId="0" applyFont="1" applyBorder="1" applyAlignment="1" applyProtection="1">
      <alignment horizontal="center" vertical="center"/>
      <protection hidden="1"/>
    </xf>
    <xf numFmtId="49" fontId="252" fillId="0" borderId="0" xfId="0" applyNumberFormat="1" applyFont="1" applyAlignment="1" applyProtection="1">
      <alignment/>
      <protection hidden="1"/>
    </xf>
    <xf numFmtId="0" fontId="253" fillId="0" borderId="0" xfId="0" applyFont="1" applyAlignment="1" applyProtection="1">
      <alignment horizontal="justify" vertical="top" wrapText="1"/>
      <protection hidden="1"/>
    </xf>
    <xf numFmtId="0" fontId="254" fillId="0" borderId="15" xfId="0" applyFont="1" applyBorder="1" applyAlignment="1" applyProtection="1">
      <alignment horizontal="center" vertical="top"/>
      <protection hidden="1"/>
    </xf>
    <xf numFmtId="0" fontId="254" fillId="0" borderId="12" xfId="0" applyFont="1" applyBorder="1" applyAlignment="1" applyProtection="1">
      <alignment horizontal="center" vertical="top"/>
      <protection hidden="1"/>
    </xf>
    <xf numFmtId="0" fontId="254" fillId="0" borderId="20" xfId="0" applyFont="1" applyBorder="1" applyAlignment="1" applyProtection="1">
      <alignment horizontal="center" vertical="top"/>
      <protection hidden="1"/>
    </xf>
    <xf numFmtId="0" fontId="34" fillId="0" borderId="12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34" fillId="0" borderId="13" xfId="0" applyFont="1" applyBorder="1" applyAlignment="1" applyProtection="1">
      <alignment vertical="top" wrapText="1"/>
      <protection hidden="1"/>
    </xf>
    <xf numFmtId="0" fontId="34" fillId="0" borderId="20" xfId="0" applyFont="1" applyBorder="1" applyAlignment="1" applyProtection="1">
      <alignment vertical="top" wrapText="1"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0" fontId="34" fillId="0" borderId="18" xfId="0" applyFont="1" applyBorder="1" applyAlignment="1" applyProtection="1">
      <alignment vertical="top" wrapText="1"/>
      <protection hidden="1"/>
    </xf>
    <xf numFmtId="0" fontId="67" fillId="0" borderId="0" xfId="0" applyFont="1" applyBorder="1" applyAlignment="1">
      <alignment wrapText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37" borderId="3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vertical="top" wrapText="1"/>
      <protection hidden="1"/>
    </xf>
    <xf numFmtId="0" fontId="238" fillId="49" borderId="14" xfId="0" applyFont="1" applyFill="1" applyBorder="1" applyAlignment="1" applyProtection="1">
      <alignment horizontal="center" vertical="center" wrapText="1"/>
      <protection hidden="1"/>
    </xf>
    <xf numFmtId="0" fontId="84" fillId="0" borderId="13" xfId="0" applyFont="1" applyBorder="1" applyAlignment="1" applyProtection="1">
      <alignment horizontal="right" vertical="top"/>
      <protection hidden="1"/>
    </xf>
    <xf numFmtId="0" fontId="18" fillId="0" borderId="13" xfId="0" applyFont="1" applyFill="1" applyBorder="1" applyAlignment="1" applyProtection="1">
      <alignment horizontal="left" vertical="top" indent="1"/>
      <protection hidden="1"/>
    </xf>
    <xf numFmtId="0" fontId="235" fillId="49" borderId="0" xfId="0" applyFont="1" applyFill="1" applyBorder="1" applyAlignment="1" applyProtection="1">
      <alignment horizontal="right"/>
      <protection hidden="1"/>
    </xf>
    <xf numFmtId="0" fontId="255" fillId="49" borderId="0" xfId="0" applyFont="1" applyFill="1" applyBorder="1" applyAlignment="1" applyProtection="1">
      <alignment horizontal="left"/>
      <protection hidden="1"/>
    </xf>
    <xf numFmtId="0" fontId="86" fillId="50" borderId="0" xfId="0" applyFont="1" applyFill="1" applyBorder="1" applyAlignment="1" applyProtection="1">
      <alignment horizontal="left"/>
      <protection hidden="1"/>
    </xf>
    <xf numFmtId="0" fontId="235" fillId="49" borderId="0" xfId="0" applyFont="1" applyFill="1" applyBorder="1" applyAlignment="1" applyProtection="1">
      <alignment horizontal="left" vertical="center"/>
      <protection hidden="1"/>
    </xf>
    <xf numFmtId="0" fontId="235" fillId="50" borderId="0" xfId="0" applyFont="1" applyFill="1" applyBorder="1" applyAlignment="1" applyProtection="1">
      <alignment horizontal="left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255" fillId="49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35" fillId="50" borderId="0" xfId="0" applyFont="1" applyFill="1" applyBorder="1" applyAlignment="1" applyProtection="1">
      <alignment horizontal="left" vertical="top"/>
      <protection hidden="1"/>
    </xf>
    <xf numFmtId="0" fontId="256" fillId="0" borderId="0" xfId="0" applyFont="1" applyBorder="1" applyAlignment="1" applyProtection="1">
      <alignment/>
      <protection hidden="1"/>
    </xf>
    <xf numFmtId="0" fontId="219" fillId="0" borderId="13" xfId="0" applyFont="1" applyBorder="1" applyAlignment="1" applyProtection="1">
      <alignment/>
      <protection hidden="1"/>
    </xf>
    <xf numFmtId="0" fontId="86" fillId="0" borderId="13" xfId="0" applyFont="1" applyBorder="1" applyAlignment="1" applyProtection="1">
      <alignment horizontal="right" vertical="top"/>
      <protection hidden="1"/>
    </xf>
    <xf numFmtId="3" fontId="74" fillId="0" borderId="0" xfId="0" applyNumberFormat="1" applyFont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257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20" fillId="5" borderId="14" xfId="0" applyFont="1" applyFill="1" applyBorder="1" applyAlignment="1" applyProtection="1">
      <alignment vertical="top"/>
      <protection hidden="1"/>
    </xf>
    <xf numFmtId="0" fontId="0" fillId="5" borderId="22" xfId="0" applyFont="1" applyFill="1" applyBorder="1" applyAlignment="1" applyProtection="1">
      <alignment vertical="top"/>
      <protection hidden="1"/>
    </xf>
    <xf numFmtId="0" fontId="20" fillId="5" borderId="22" xfId="0" applyFont="1" applyFill="1" applyBorder="1" applyAlignment="1" applyProtection="1">
      <alignment vertical="top"/>
      <protection hidden="1"/>
    </xf>
    <xf numFmtId="0" fontId="0" fillId="5" borderId="22" xfId="0" applyFill="1" applyBorder="1" applyAlignment="1" applyProtection="1">
      <alignment vertical="top"/>
      <protection hidden="1"/>
    </xf>
    <xf numFmtId="0" fontId="258" fillId="5" borderId="22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0" fontId="103" fillId="5" borderId="0" xfId="0" applyFont="1" applyFill="1" applyAlignment="1" applyProtection="1">
      <alignment horizontal="left" vertical="top" indent="3"/>
      <protection hidden="1"/>
    </xf>
    <xf numFmtId="0" fontId="89" fillId="5" borderId="0" xfId="0" applyFont="1" applyFill="1" applyBorder="1" applyAlignment="1" applyProtection="1">
      <alignment vertical="center"/>
      <protection hidden="1"/>
    </xf>
    <xf numFmtId="0" fontId="259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260" fillId="0" borderId="15" xfId="0" applyFont="1" applyBorder="1" applyAlignment="1" applyProtection="1">
      <alignment vertical="top" wrapText="1"/>
      <protection hidden="1" locked="0"/>
    </xf>
    <xf numFmtId="0" fontId="260" fillId="0" borderId="21" xfId="0" applyFont="1" applyBorder="1" applyAlignment="1" applyProtection="1">
      <alignment vertical="top" wrapText="1"/>
      <protection hidden="1" locked="0"/>
    </xf>
    <xf numFmtId="0" fontId="260" fillId="0" borderId="19" xfId="0" applyFont="1" applyBorder="1" applyAlignment="1" applyProtection="1">
      <alignment vertical="top" wrapText="1"/>
      <protection hidden="1" locked="0"/>
    </xf>
    <xf numFmtId="0" fontId="260" fillId="0" borderId="20" xfId="0" applyFont="1" applyBorder="1" applyAlignment="1" applyProtection="1">
      <alignment vertical="top" wrapText="1"/>
      <protection hidden="1" locked="0"/>
    </xf>
    <xf numFmtId="0" fontId="260" fillId="0" borderId="14" xfId="0" applyFont="1" applyBorder="1" applyAlignment="1" applyProtection="1">
      <alignment vertical="top" wrapText="1"/>
      <protection hidden="1" locked="0"/>
    </xf>
    <xf numFmtId="0" fontId="260" fillId="0" borderId="18" xfId="0" applyFont="1" applyBorder="1" applyAlignment="1" applyProtection="1">
      <alignment vertical="top" wrapText="1"/>
      <protection hidden="1" locked="0"/>
    </xf>
    <xf numFmtId="0" fontId="20" fillId="0" borderId="14" xfId="0" applyFont="1" applyBorder="1" applyAlignment="1" applyProtection="1">
      <alignment/>
      <protection hidden="1"/>
    </xf>
    <xf numFmtId="0" fontId="20" fillId="0" borderId="14" xfId="0" applyFont="1" applyBorder="1" applyAlignment="1" applyProtection="1">
      <alignment horizontal="center"/>
      <protection hidden="1"/>
    </xf>
    <xf numFmtId="0" fontId="8" fillId="5" borderId="12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6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61" fillId="5" borderId="15" xfId="42" applyFont="1" applyFill="1" applyBorder="1" applyAlignment="1" applyProtection="1">
      <alignment horizontal="center"/>
      <protection hidden="1"/>
    </xf>
    <xf numFmtId="0" fontId="261" fillId="5" borderId="12" xfId="42" applyFont="1" applyFill="1" applyBorder="1" applyAlignment="1" applyProtection="1">
      <alignment horizontal="center"/>
      <protection hidden="1"/>
    </xf>
    <xf numFmtId="0" fontId="261" fillId="5" borderId="20" xfId="42" applyFont="1" applyFill="1" applyBorder="1" applyAlignment="1" applyProtection="1">
      <alignment horizontal="center"/>
      <protection hidden="1"/>
    </xf>
    <xf numFmtId="0" fontId="19" fillId="2" borderId="14" xfId="0" applyFont="1" applyFill="1" applyBorder="1" applyAlignment="1" applyProtection="1">
      <alignment horizontal="center" vertical="top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left"/>
      <protection locked="0"/>
    </xf>
    <xf numFmtId="0" fontId="262" fillId="0" borderId="17" xfId="0" applyFont="1" applyBorder="1" applyAlignment="1" applyProtection="1">
      <alignment horizontal="center" vertical="center"/>
      <protection hidden="1"/>
    </xf>
    <xf numFmtId="0" fontId="263" fillId="0" borderId="0" xfId="0" applyFont="1" applyAlignment="1" applyProtection="1">
      <alignment/>
      <protection hidden="1"/>
    </xf>
    <xf numFmtId="0" fontId="264" fillId="34" borderId="23" xfId="0" applyFont="1" applyFill="1" applyBorder="1" applyAlignment="1" applyProtection="1">
      <alignment vertical="center"/>
      <protection hidden="1"/>
    </xf>
    <xf numFmtId="3" fontId="265" fillId="0" borderId="0" xfId="0" applyNumberFormat="1" applyFont="1" applyAlignment="1" applyProtection="1">
      <alignment vertical="top" wrapText="1"/>
      <protection hidden="1"/>
    </xf>
    <xf numFmtId="0" fontId="266" fillId="37" borderId="0" xfId="0" applyFont="1" applyFill="1" applyAlignment="1" applyProtection="1">
      <alignment horizontal="left"/>
      <protection hidden="1"/>
    </xf>
    <xf numFmtId="0" fontId="266" fillId="0" borderId="0" xfId="0" applyFont="1" applyAlignment="1" applyProtection="1">
      <alignment horizontal="center"/>
      <protection hidden="1"/>
    </xf>
    <xf numFmtId="0" fontId="237" fillId="0" borderId="0" xfId="0" applyFont="1" applyAlignment="1" applyProtection="1">
      <alignment/>
      <protection hidden="1"/>
    </xf>
    <xf numFmtId="0" fontId="267" fillId="0" borderId="22" xfId="0" applyFont="1" applyBorder="1" applyAlignment="1" applyProtection="1">
      <alignment vertical="top"/>
      <protection hidden="1"/>
    </xf>
    <xf numFmtId="0" fontId="268" fillId="0" borderId="0" xfId="0" applyFont="1" applyBorder="1" applyAlignment="1" applyProtection="1">
      <alignment vertical="top" wrapText="1"/>
      <protection hidden="1"/>
    </xf>
    <xf numFmtId="0" fontId="269" fillId="0" borderId="0" xfId="0" applyFont="1" applyBorder="1" applyAlignment="1" applyProtection="1">
      <alignment vertical="top"/>
      <protection hidden="1"/>
    </xf>
    <xf numFmtId="0" fontId="219" fillId="37" borderId="0" xfId="0" applyFont="1" applyFill="1" applyAlignment="1" applyProtection="1">
      <alignment/>
      <protection hidden="1"/>
    </xf>
    <xf numFmtId="0" fontId="249" fillId="0" borderId="21" xfId="0" applyFont="1" applyBorder="1" applyAlignment="1" applyProtection="1">
      <alignment vertical="top" wrapText="1"/>
      <protection hidden="1" locked="0"/>
    </xf>
    <xf numFmtId="0" fontId="249" fillId="0" borderId="14" xfId="0" applyFont="1" applyBorder="1" applyAlignment="1" applyProtection="1">
      <alignment vertical="top" wrapText="1"/>
      <protection hidden="1" locked="0"/>
    </xf>
    <xf numFmtId="0" fontId="266" fillId="0" borderId="14" xfId="0" applyFont="1" applyBorder="1" applyAlignment="1" applyProtection="1">
      <alignment horizontal="right"/>
      <protection hidden="1"/>
    </xf>
    <xf numFmtId="0" fontId="266" fillId="0" borderId="14" xfId="0" applyFont="1" applyBorder="1" applyAlignment="1" applyProtection="1">
      <alignment horizontal="left"/>
      <protection hidden="1"/>
    </xf>
    <xf numFmtId="0" fontId="237" fillId="0" borderId="0" xfId="0" applyFont="1" applyFill="1" applyBorder="1" applyAlignment="1" applyProtection="1">
      <alignment horizontal="right"/>
      <protection hidden="1"/>
    </xf>
    <xf numFmtId="0" fontId="237" fillId="0" borderId="0" xfId="0" applyFont="1" applyFill="1" applyBorder="1" applyAlignment="1" applyProtection="1">
      <alignment horizontal="left"/>
      <protection hidden="1"/>
    </xf>
    <xf numFmtId="0" fontId="219" fillId="0" borderId="0" xfId="0" applyFont="1" applyAlignment="1" applyProtection="1">
      <alignment horizontal="left"/>
      <protection hidden="1"/>
    </xf>
    <xf numFmtId="0" fontId="270" fillId="0" borderId="0" xfId="0" applyFont="1" applyAlignment="1" applyProtection="1">
      <alignment vertical="top" wrapText="1"/>
      <protection hidden="1"/>
    </xf>
    <xf numFmtId="0" fontId="270" fillId="0" borderId="0" xfId="0" applyFont="1" applyBorder="1" applyAlignment="1" applyProtection="1">
      <alignment vertical="top" wrapText="1"/>
      <protection hidden="1"/>
    </xf>
    <xf numFmtId="0" fontId="219" fillId="5" borderId="0" xfId="0" applyFont="1" applyFill="1" applyAlignment="1" applyProtection="1">
      <alignment/>
      <protection hidden="1"/>
    </xf>
    <xf numFmtId="0" fontId="266" fillId="0" borderId="0" xfId="0" applyFont="1" applyAlignment="1" applyProtection="1">
      <alignment horizontal="left"/>
      <protection hidden="1"/>
    </xf>
    <xf numFmtId="0" fontId="271" fillId="3" borderId="0" xfId="0" applyFont="1" applyFill="1" applyAlignment="1" applyProtection="1">
      <alignment/>
      <protection hidden="1"/>
    </xf>
    <xf numFmtId="0" fontId="219" fillId="0" borderId="0" xfId="0" applyFont="1" applyAlignment="1" applyProtection="1">
      <alignment horizontal="center"/>
      <protection hidden="1"/>
    </xf>
    <xf numFmtId="0" fontId="271" fillId="3" borderId="0" xfId="0" applyFont="1" applyFill="1" applyAlignment="1" applyProtection="1">
      <alignment horizontal="center"/>
      <protection hidden="1"/>
    </xf>
    <xf numFmtId="0" fontId="21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2" fillId="37" borderId="0" xfId="0" applyFont="1" applyFill="1" applyBorder="1" applyAlignment="1" applyProtection="1">
      <alignment horizontal="left" vertical="top"/>
      <protection hidden="1"/>
    </xf>
    <xf numFmtId="0" fontId="3" fillId="3" borderId="34" xfId="0" applyFont="1" applyFill="1" applyBorder="1" applyAlignment="1" applyProtection="1">
      <alignment horizontal="center" vertical="top"/>
      <protection hidden="1"/>
    </xf>
    <xf numFmtId="0" fontId="241" fillId="0" borderId="26" xfId="0" applyFont="1" applyBorder="1" applyAlignment="1" applyProtection="1">
      <alignment vertical="top" wrapText="1"/>
      <protection hidden="1"/>
    </xf>
    <xf numFmtId="0" fontId="34" fillId="0" borderId="26" xfId="0" applyFont="1" applyBorder="1" applyAlignment="1" applyProtection="1">
      <alignment vertical="top" wrapText="1"/>
      <protection hidden="1"/>
    </xf>
    <xf numFmtId="0" fontId="13" fillId="0" borderId="26" xfId="0" applyFont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65" fillId="51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6" fillId="48" borderId="0" xfId="0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 indent="1"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96" fillId="0" borderId="0" xfId="0" applyFont="1" applyBorder="1" applyAlignment="1">
      <alignment horizontal="left" wrapText="1" indent="2"/>
    </xf>
    <xf numFmtId="0" fontId="273" fillId="0" borderId="0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0" fontId="114" fillId="0" borderId="0" xfId="0" applyFont="1" applyBorder="1" applyAlignment="1">
      <alignment horizontal="center" wrapText="1"/>
    </xf>
    <xf numFmtId="0" fontId="97" fillId="0" borderId="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96" fillId="2" borderId="0" xfId="0" applyFont="1" applyFill="1" applyBorder="1" applyAlignment="1">
      <alignment horizontal="center" vertical="center" wrapText="1"/>
    </xf>
    <xf numFmtId="0" fontId="274" fillId="5" borderId="22" xfId="0" applyFont="1" applyFill="1" applyBorder="1" applyAlignment="1" applyProtection="1">
      <alignment vertical="center"/>
      <protection hidden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17" fontId="73" fillId="8" borderId="0" xfId="0" applyNumberFormat="1" applyFont="1" applyFill="1" applyAlignment="1" applyProtection="1">
      <alignment vertical="top"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0" xfId="0" applyFont="1" applyFill="1" applyAlignment="1" applyProtection="1">
      <alignment horizontal="left" vertical="top"/>
      <protection hidden="1"/>
    </xf>
    <xf numFmtId="0" fontId="0" fillId="8" borderId="0" xfId="0" applyFill="1" applyAlignment="1" applyProtection="1">
      <alignment/>
      <protection hidden="1"/>
    </xf>
    <xf numFmtId="49" fontId="87" fillId="8" borderId="0" xfId="0" applyNumberFormat="1" applyFont="1" applyFill="1" applyAlignment="1" applyProtection="1">
      <alignment/>
      <protection hidden="1"/>
    </xf>
    <xf numFmtId="17" fontId="122" fillId="8" borderId="0" xfId="0" applyNumberFormat="1" applyFont="1" applyFill="1" applyAlignment="1" applyProtection="1">
      <alignment/>
      <protection hidden="1"/>
    </xf>
    <xf numFmtId="17" fontId="275" fillId="8" borderId="0" xfId="0" applyNumberFormat="1" applyFont="1" applyFill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04" fillId="5" borderId="0" xfId="0" applyFont="1" applyFill="1" applyBorder="1" applyAlignment="1" applyProtection="1">
      <alignment horizontal="center" vertical="center" wrapText="1"/>
      <protection hidden="1"/>
    </xf>
    <xf numFmtId="0" fontId="104" fillId="5" borderId="13" xfId="0" applyFont="1" applyFill="1" applyBorder="1" applyAlignment="1" applyProtection="1">
      <alignment horizontal="center" vertical="center" wrapText="1"/>
      <protection hidden="1"/>
    </xf>
    <xf numFmtId="0" fontId="276" fillId="0" borderId="0" xfId="0" applyFont="1" applyBorder="1" applyAlignment="1" applyProtection="1">
      <alignment horizontal="left" vertical="center" wrapText="1" indent="2"/>
      <protection hidden="1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52" fillId="48" borderId="12" xfId="0" applyFont="1" applyFill="1" applyBorder="1" applyAlignment="1" applyProtection="1">
      <alignment horizontal="left" vertical="center" wrapText="1" indent="1"/>
      <protection hidden="1"/>
    </xf>
    <xf numFmtId="0" fontId="52" fillId="48" borderId="0" xfId="0" applyFont="1" applyFill="1" applyBorder="1" applyAlignment="1" applyProtection="1">
      <alignment horizontal="left" vertical="center" wrapText="1" indent="1"/>
      <protection hidden="1"/>
    </xf>
    <xf numFmtId="0" fontId="52" fillId="48" borderId="13" xfId="0" applyFont="1" applyFill="1" applyBorder="1" applyAlignment="1" applyProtection="1">
      <alignment horizontal="left" vertical="center" wrapText="1" indent="1"/>
      <protection hidden="1"/>
    </xf>
    <xf numFmtId="0" fontId="18" fillId="0" borderId="1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3" fontId="37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7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276" fillId="3" borderId="0" xfId="0" applyFont="1" applyFill="1" applyBorder="1" applyAlignment="1" applyProtection="1">
      <alignment horizontal="left" vertical="top" wrapText="1" indent="2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2" borderId="14" xfId="0" applyFont="1" applyFill="1" applyBorder="1" applyAlignment="1" applyProtection="1">
      <alignment horizontal="left" vertical="top" indent="1"/>
      <protection locked="0"/>
    </xf>
    <xf numFmtId="0" fontId="18" fillId="0" borderId="12" xfId="0" applyFont="1" applyBorder="1" applyAlignment="1" applyProtection="1">
      <alignment horizontal="left" wrapText="1" indent="1"/>
      <protection hidden="1"/>
    </xf>
    <xf numFmtId="0" fontId="54" fillId="0" borderId="21" xfId="0" applyFont="1" applyBorder="1" applyAlignment="1" applyProtection="1">
      <alignment horizontal="center" vertical="top"/>
      <protection hidden="1"/>
    </xf>
    <xf numFmtId="0" fontId="53" fillId="0" borderId="12" xfId="0" applyFont="1" applyBorder="1" applyAlignment="1" applyProtection="1">
      <alignment horizontal="center" vertical="top" wrapText="1"/>
      <protection hidden="1"/>
    </xf>
    <xf numFmtId="0" fontId="53" fillId="0" borderId="0" xfId="0" applyFont="1" applyBorder="1" applyAlignment="1" applyProtection="1">
      <alignment horizontal="center" vertical="top" wrapText="1"/>
      <protection hidden="1"/>
    </xf>
    <xf numFmtId="0" fontId="53" fillId="0" borderId="13" xfId="0" applyFont="1" applyBorder="1" applyAlignment="1" applyProtection="1">
      <alignment horizontal="center" vertical="top" wrapText="1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60" fillId="35" borderId="21" xfId="0" applyFont="1" applyFill="1" applyBorder="1" applyAlignment="1" applyProtection="1">
      <alignment horizontal="center" vertical="center"/>
      <protection hidden="1"/>
    </xf>
    <xf numFmtId="0" fontId="95" fillId="2" borderId="0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Alignment="1">
      <alignment/>
    </xf>
    <xf numFmtId="0" fontId="72" fillId="33" borderId="0" xfId="0" applyFont="1" applyFill="1" applyBorder="1" applyAlignment="1" applyProtection="1">
      <alignment horizontal="left" vertical="center"/>
      <protection hidden="1"/>
    </xf>
    <xf numFmtId="0" fontId="277" fillId="0" borderId="0" xfId="0" applyFont="1" applyBorder="1" applyAlignment="1" applyProtection="1">
      <alignment horizontal="left" wrapText="1" indent="1"/>
      <protection hidden="1"/>
    </xf>
    <xf numFmtId="0" fontId="61" fillId="34" borderId="23" xfId="42" applyFont="1" applyFill="1" applyBorder="1" applyAlignment="1" applyProtection="1">
      <alignment horizontal="center" vertical="center"/>
      <protection hidden="1"/>
    </xf>
    <xf numFmtId="0" fontId="61" fillId="34" borderId="22" xfId="42" applyFont="1" applyFill="1" applyBorder="1" applyAlignment="1" applyProtection="1">
      <alignment horizontal="center" vertical="center"/>
      <protection hidden="1"/>
    </xf>
    <xf numFmtId="0" fontId="61" fillId="34" borderId="24" xfId="42" applyFont="1" applyFill="1" applyBorder="1" applyAlignment="1" applyProtection="1">
      <alignment horizontal="center" vertical="center"/>
      <protection hidden="1"/>
    </xf>
    <xf numFmtId="0" fontId="278" fillId="0" borderId="12" xfId="0" applyFont="1" applyBorder="1" applyAlignment="1" applyProtection="1">
      <alignment horizontal="center" vertical="top" wrapText="1"/>
      <protection hidden="1"/>
    </xf>
    <xf numFmtId="0" fontId="278" fillId="0" borderId="0" xfId="0" applyFont="1" applyBorder="1" applyAlignment="1" applyProtection="1">
      <alignment horizontal="center" vertical="top" wrapText="1"/>
      <protection hidden="1"/>
    </xf>
    <xf numFmtId="0" fontId="278" fillId="0" borderId="13" xfId="0" applyFont="1" applyBorder="1" applyAlignment="1" applyProtection="1">
      <alignment horizontal="center" vertical="top" wrapText="1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77" fillId="0" borderId="0" xfId="0" applyFont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33" borderId="14" xfId="0" applyFont="1" applyFill="1" applyBorder="1" applyAlignment="1" applyProtection="1">
      <alignment horizontal="left" vertical="top" indent="1"/>
      <protection locked="0"/>
    </xf>
    <xf numFmtId="0" fontId="22" fillId="0" borderId="0" xfId="0" applyFont="1" applyBorder="1" applyAlignment="1" applyProtection="1">
      <alignment horizontal="right" vertical="top"/>
      <protection hidden="1"/>
    </xf>
    <xf numFmtId="0" fontId="22" fillId="0" borderId="13" xfId="0" applyFont="1" applyBorder="1" applyAlignment="1" applyProtection="1">
      <alignment horizontal="right" vertical="top"/>
      <protection hidden="1"/>
    </xf>
    <xf numFmtId="0" fontId="20" fillId="38" borderId="22" xfId="0" applyFont="1" applyFill="1" applyBorder="1" applyAlignment="1" applyProtection="1">
      <alignment horizontal="left" vertical="center" indent="1"/>
      <protection locked="0"/>
    </xf>
    <xf numFmtId="3" fontId="26" fillId="0" borderId="0" xfId="0" applyNumberFormat="1" applyFont="1" applyFill="1" applyBorder="1" applyAlignment="1" applyProtection="1">
      <alignment horizontal="left" vertical="top" indent="1"/>
      <protection hidden="1"/>
    </xf>
    <xf numFmtId="0" fontId="20" fillId="33" borderId="14" xfId="0" applyFont="1" applyFill="1" applyBorder="1" applyAlignment="1" applyProtection="1">
      <alignment horizontal="center" vertical="top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9" fillId="33" borderId="14" xfId="0" applyFont="1" applyFill="1" applyBorder="1" applyAlignment="1" applyProtection="1">
      <alignment horizontal="left" vertical="center" indent="1"/>
      <protection locked="0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105" fillId="5" borderId="35" xfId="0" applyFont="1" applyFill="1" applyBorder="1" applyAlignment="1" applyProtection="1">
      <alignment horizontal="center" vertical="top"/>
      <protection locked="0"/>
    </xf>
    <xf numFmtId="0" fontId="105" fillId="5" borderId="36" xfId="0" applyFont="1" applyFill="1" applyBorder="1" applyAlignment="1" applyProtection="1">
      <alignment horizontal="center" vertical="top"/>
      <protection locked="0"/>
    </xf>
    <xf numFmtId="0" fontId="20" fillId="38" borderId="14" xfId="0" applyFont="1" applyFill="1" applyBorder="1" applyAlignment="1" applyProtection="1">
      <alignment horizontal="left" vertical="top" indent="1"/>
      <protection locked="0"/>
    </xf>
    <xf numFmtId="14" fontId="279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20" fillId="0" borderId="14" xfId="0" applyFont="1" applyFill="1" applyBorder="1" applyAlignment="1" applyProtection="1">
      <alignment horizontal="left" vertical="center" indent="1"/>
      <protection hidden="1"/>
    </xf>
    <xf numFmtId="0" fontId="19" fillId="35" borderId="12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104" fillId="5" borderId="0" xfId="0" applyFont="1" applyFill="1" applyBorder="1" applyAlignment="1" applyProtection="1">
      <alignment horizontal="center" vertical="top" wrapText="1"/>
      <protection hidden="1"/>
    </xf>
    <xf numFmtId="0" fontId="104" fillId="5" borderId="13" xfId="0" applyFont="1" applyFill="1" applyBorder="1" applyAlignment="1" applyProtection="1">
      <alignment horizontal="center" vertical="top" wrapText="1"/>
      <protection hidden="1"/>
    </xf>
    <xf numFmtId="0" fontId="19" fillId="35" borderId="12" xfId="0" applyFont="1" applyFill="1" applyBorder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3" fontId="20" fillId="33" borderId="14" xfId="0" applyNumberFormat="1" applyFont="1" applyFill="1" applyBorder="1" applyAlignment="1" applyProtection="1">
      <alignment horizontal="left" vertical="top" indent="1"/>
      <protection locked="0"/>
    </xf>
    <xf numFmtId="3" fontId="20" fillId="38" borderId="0" xfId="0" applyNumberFormat="1" applyFont="1" applyFill="1" applyBorder="1" applyAlignment="1" applyProtection="1">
      <alignment horizontal="left" vertical="top" indent="1"/>
      <protection locked="0"/>
    </xf>
    <xf numFmtId="0" fontId="23" fillId="0" borderId="0" xfId="0" applyFont="1" applyFill="1" applyBorder="1" applyAlignment="1" applyProtection="1">
      <alignment horizontal="left" vertical="top" wrapText="1" indent="1"/>
      <protection hidden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36" fillId="38" borderId="12" xfId="0" applyFont="1" applyFill="1" applyBorder="1" applyAlignment="1" applyProtection="1">
      <alignment horizontal="left" vertical="center" indent="1"/>
      <protection locked="0"/>
    </xf>
    <xf numFmtId="0" fontId="36" fillId="38" borderId="0" xfId="0" applyFont="1" applyFill="1" applyBorder="1" applyAlignment="1" applyProtection="1">
      <alignment horizontal="left" vertical="center" indent="1"/>
      <protection locked="0"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35" borderId="12" xfId="0" applyFont="1" applyFill="1" applyBorder="1" applyAlignment="1" applyProtection="1">
      <alignment horizontal="center" wrapText="1"/>
      <protection hidden="1"/>
    </xf>
    <xf numFmtId="0" fontId="35" fillId="38" borderId="12" xfId="0" applyFont="1" applyFill="1" applyBorder="1" applyAlignment="1" applyProtection="1">
      <alignment horizontal="left" indent="1"/>
      <protection locked="0"/>
    </xf>
    <xf numFmtId="0" fontId="35" fillId="38" borderId="0" xfId="0" applyFont="1" applyFill="1" applyBorder="1" applyAlignment="1" applyProtection="1">
      <alignment horizontal="left" indent="1"/>
      <protection locked="0"/>
    </xf>
    <xf numFmtId="0" fontId="111" fillId="35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3" xfId="0" applyFont="1" applyBorder="1" applyAlignment="1" applyProtection="1">
      <alignment horizontal="center" vertical="top"/>
      <protection hidden="1"/>
    </xf>
    <xf numFmtId="0" fontId="97" fillId="0" borderId="0" xfId="0" applyFont="1" applyBorder="1" applyAlignment="1" applyProtection="1">
      <alignment horizontal="left" vertical="top" wrapText="1"/>
      <protection hidden="1"/>
    </xf>
    <xf numFmtId="0" fontId="96" fillId="2" borderId="0" xfId="0" applyFont="1" applyFill="1" applyBorder="1" applyAlignment="1">
      <alignment horizontal="center" vertical="center"/>
    </xf>
    <xf numFmtId="0" fontId="116" fillId="2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/>
      <protection hidden="1"/>
    </xf>
    <xf numFmtId="0" fontId="280" fillId="2" borderId="0" xfId="0" applyFont="1" applyFill="1" applyBorder="1" applyAlignment="1">
      <alignment horizontal="center" vertical="top" wrapText="1"/>
    </xf>
    <xf numFmtId="0" fontId="40" fillId="35" borderId="12" xfId="0" applyFont="1" applyFill="1" applyBorder="1" applyAlignment="1" applyProtection="1">
      <alignment horizontal="center" vertical="top" wrapText="1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/>
    </xf>
    <xf numFmtId="0" fontId="40" fillId="35" borderId="0" xfId="0" applyFont="1" applyFill="1" applyBorder="1" applyAlignment="1" applyProtection="1">
      <alignment horizontal="center" wrapText="1"/>
      <protection hidden="1"/>
    </xf>
    <xf numFmtId="0" fontId="40" fillId="35" borderId="13" xfId="0" applyFont="1" applyFill="1" applyBorder="1" applyAlignment="1" applyProtection="1">
      <alignment horizontal="center" wrapText="1"/>
      <protection hidden="1"/>
    </xf>
    <xf numFmtId="0" fontId="18" fillId="0" borderId="15" xfId="0" applyFont="1" applyBorder="1" applyAlignment="1" applyProtection="1">
      <alignment horizontal="left" vertical="top" wrapText="1"/>
      <protection hidden="1"/>
    </xf>
    <xf numFmtId="0" fontId="18" fillId="0" borderId="21" xfId="0" applyFont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75" fillId="0" borderId="20" xfId="0" applyFont="1" applyBorder="1" applyAlignment="1" applyProtection="1">
      <alignment horizontal="center" vertical="top"/>
      <protection hidden="1"/>
    </xf>
    <xf numFmtId="0" fontId="75" fillId="0" borderId="14" xfId="0" applyFont="1" applyBorder="1" applyAlignment="1" applyProtection="1">
      <alignment horizontal="center" vertical="top"/>
      <protection hidden="1"/>
    </xf>
    <xf numFmtId="0" fontId="75" fillId="0" borderId="18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center" vertical="top"/>
      <protection hidden="1"/>
    </xf>
    <xf numFmtId="0" fontId="16" fillId="0" borderId="22" xfId="0" applyFont="1" applyBorder="1" applyAlignment="1" applyProtection="1">
      <alignment horizontal="center" vertical="top"/>
      <protection hidden="1"/>
    </xf>
    <xf numFmtId="0" fontId="16" fillId="0" borderId="24" xfId="0" applyFont="1" applyBorder="1" applyAlignment="1" applyProtection="1">
      <alignment horizontal="center" vertical="top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4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84" fillId="0" borderId="12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top" wrapText="1"/>
    </xf>
    <xf numFmtId="0" fontId="84" fillId="0" borderId="20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 vertical="top" wrapText="1"/>
    </xf>
    <xf numFmtId="0" fontId="16" fillId="0" borderId="20" xfId="0" applyFont="1" applyBorder="1" applyAlignment="1" applyProtection="1">
      <alignment horizontal="center" vertical="top"/>
      <protection hidden="1"/>
    </xf>
    <xf numFmtId="0" fontId="16" fillId="0" borderId="14" xfId="0" applyFont="1" applyBorder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center" vertical="top"/>
      <protection hidden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 wrapText="1"/>
    </xf>
    <xf numFmtId="0" fontId="75" fillId="0" borderId="14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left" vertical="top" wrapText="1"/>
    </xf>
    <xf numFmtId="0" fontId="18" fillId="0" borderId="20" xfId="0" applyFont="1" applyBorder="1" applyAlignment="1" applyProtection="1">
      <alignment horizontal="left" vertical="top" wrapText="1"/>
      <protection hidden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75" fillId="0" borderId="12" xfId="0" applyFont="1" applyBorder="1" applyAlignment="1" applyProtection="1">
      <alignment horizontal="left" vertical="top" wrapText="1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75" fillId="0" borderId="13" xfId="0" applyFont="1" applyBorder="1" applyAlignment="1" applyProtection="1">
      <alignment horizontal="left" vertical="top" wrapText="1"/>
      <protection hidden="1"/>
    </xf>
    <xf numFmtId="0" fontId="75" fillId="0" borderId="20" xfId="0" applyFont="1" applyBorder="1" applyAlignment="1" applyProtection="1">
      <alignment horizontal="left" vertical="top" wrapText="1"/>
      <protection hidden="1"/>
    </xf>
    <xf numFmtId="0" fontId="75" fillId="0" borderId="14" xfId="0" applyFont="1" applyBorder="1" applyAlignment="1" applyProtection="1">
      <alignment horizontal="left" vertical="top" wrapText="1"/>
      <protection hidden="1"/>
    </xf>
    <xf numFmtId="0" fontId="75" fillId="0" borderId="18" xfId="0" applyFont="1" applyBorder="1" applyAlignment="1" applyProtection="1">
      <alignment horizontal="left" vertical="top" wrapText="1"/>
      <protection hidden="1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84" fillId="0" borderId="12" xfId="0" applyFont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84" fillId="0" borderId="13" xfId="0" applyFont="1" applyBorder="1" applyAlignment="1">
      <alignment horizontal="center" wrapText="1"/>
    </xf>
    <xf numFmtId="0" fontId="84" fillId="0" borderId="0" xfId="0" applyFont="1" applyAlignment="1">
      <alignment horizontal="justify" wrapText="1"/>
    </xf>
    <xf numFmtId="0" fontId="43" fillId="0" borderId="21" xfId="0" applyFont="1" applyBorder="1" applyAlignment="1" applyProtection="1">
      <alignment horizontal="right" vertical="top"/>
      <protection hidden="1"/>
    </xf>
    <xf numFmtId="0" fontId="43" fillId="0" borderId="0" xfId="0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12" xfId="0" applyNumberFormat="1" applyFont="1" applyBorder="1" applyAlignment="1" applyProtection="1">
      <alignment horizontal="center" vertical="center" wrapText="1"/>
      <protection hidden="1"/>
    </xf>
    <xf numFmtId="49" fontId="16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4" fillId="0" borderId="0" xfId="0" applyFont="1" applyBorder="1" applyAlignment="1">
      <alignment horizontal="center" vertical="top"/>
    </xf>
    <xf numFmtId="0" fontId="84" fillId="0" borderId="13" xfId="0" applyFont="1" applyBorder="1" applyAlignment="1">
      <alignment horizontal="center" vertical="top"/>
    </xf>
    <xf numFmtId="0" fontId="84" fillId="0" borderId="20" xfId="0" applyFont="1" applyBorder="1" applyAlignment="1">
      <alignment horizontal="center" vertical="top"/>
    </xf>
    <xf numFmtId="0" fontId="84" fillId="0" borderId="14" xfId="0" applyFont="1" applyBorder="1" applyAlignment="1">
      <alignment horizontal="center" vertical="top"/>
    </xf>
    <xf numFmtId="0" fontId="84" fillId="0" borderId="18" xfId="0" applyFont="1" applyBorder="1" applyAlignment="1">
      <alignment horizontal="center" vertical="top"/>
    </xf>
    <xf numFmtId="0" fontId="19" fillId="0" borderId="15" xfId="0" applyFont="1" applyBorder="1" applyAlignment="1" applyProtection="1">
      <alignment horizontal="center" vertical="center" wrapText="1"/>
      <protection hidden="1" locked="0"/>
    </xf>
    <xf numFmtId="0" fontId="19" fillId="0" borderId="21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20" xfId="0" applyFont="1" applyBorder="1" applyAlignment="1" applyProtection="1">
      <alignment horizontal="center" vertical="center" wrapText="1"/>
      <protection hidden="1" locked="0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49" fontId="281" fillId="0" borderId="16" xfId="0" applyNumberFormat="1" applyFont="1" applyBorder="1" applyAlignment="1" applyProtection="1">
      <alignment horizontal="center" vertical="center" wrapText="1"/>
      <protection hidden="1"/>
    </xf>
    <xf numFmtId="49" fontId="281" fillId="0" borderId="25" xfId="0" applyNumberFormat="1" applyFont="1" applyBorder="1" applyAlignment="1" applyProtection="1">
      <alignment horizontal="center" vertical="center" wrapText="1"/>
      <protection hidden="1"/>
    </xf>
    <xf numFmtId="49" fontId="281" fillId="0" borderId="26" xfId="0" applyNumberFormat="1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horizontal="justify" vertical="top" wrapText="1"/>
      <protection hidden="1"/>
    </xf>
    <xf numFmtId="0" fontId="18" fillId="0" borderId="15" xfId="0" applyFont="1" applyFill="1" applyBorder="1" applyAlignment="1" applyProtection="1">
      <alignment horizontal="left" vertical="top" wrapText="1"/>
      <protection hidden="1"/>
    </xf>
    <xf numFmtId="0" fontId="18" fillId="0" borderId="21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20" xfId="0" applyFont="1" applyFill="1" applyBorder="1" applyAlignment="1" applyProtection="1">
      <alignment horizontal="left" vertical="top" wrapText="1"/>
      <protection hidden="1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2" fillId="0" borderId="0" xfId="0" applyFont="1" applyAlignment="1" applyProtection="1">
      <alignment horizontal="left" vertical="top" indent="1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>
      <alignment horizontal="justify" vertical="center" wrapText="1"/>
    </xf>
    <xf numFmtId="0" fontId="19" fillId="0" borderId="15" xfId="0" applyFont="1" applyBorder="1" applyAlignment="1" applyProtection="1">
      <alignment horizontal="center" vertical="center"/>
      <protection hidden="1" locked="0"/>
    </xf>
    <xf numFmtId="0" fontId="19" fillId="0" borderId="21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34" fillId="0" borderId="17" xfId="0" applyFont="1" applyBorder="1" applyAlignment="1">
      <alignment horizontal="center" vertical="center" wrapText="1"/>
    </xf>
    <xf numFmtId="0" fontId="76" fillId="0" borderId="0" xfId="0" applyFont="1" applyBorder="1" applyAlignment="1" applyProtection="1">
      <alignment horizontal="justify" vertical="top" wrapText="1"/>
      <protection hidden="1"/>
    </xf>
    <xf numFmtId="0" fontId="16" fillId="0" borderId="26" xfId="0" applyFont="1" applyBorder="1" applyAlignment="1" applyProtection="1">
      <alignment horizontal="center" vertical="top"/>
      <protection hidden="1"/>
    </xf>
    <xf numFmtId="0" fontId="84" fillId="0" borderId="12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top"/>
    </xf>
    <xf numFmtId="0" fontId="84" fillId="0" borderId="13" xfId="0" applyFont="1" applyBorder="1" applyAlignment="1">
      <alignment horizontal="left" vertical="top"/>
    </xf>
    <xf numFmtId="0" fontId="84" fillId="0" borderId="20" xfId="0" applyFont="1" applyBorder="1" applyAlignment="1">
      <alignment horizontal="left" vertical="top"/>
    </xf>
    <xf numFmtId="0" fontId="84" fillId="0" borderId="14" xfId="0" applyFont="1" applyBorder="1" applyAlignment="1">
      <alignment horizontal="left" vertical="top"/>
    </xf>
    <xf numFmtId="0" fontId="84" fillId="0" borderId="18" xfId="0" applyFont="1" applyBorder="1" applyAlignment="1">
      <alignment horizontal="left" vertical="top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75" fillId="0" borderId="12" xfId="0" applyFont="1" applyBorder="1" applyAlignment="1" applyProtection="1">
      <alignment horizontal="left" vertical="top"/>
      <protection hidden="1"/>
    </xf>
    <xf numFmtId="0" fontId="75" fillId="0" borderId="0" xfId="0" applyFont="1" applyBorder="1" applyAlignment="1" applyProtection="1">
      <alignment horizontal="left" vertical="top"/>
      <protection hidden="1"/>
    </xf>
    <xf numFmtId="0" fontId="75" fillId="0" borderId="13" xfId="0" applyFont="1" applyBorder="1" applyAlignment="1" applyProtection="1">
      <alignment horizontal="left" vertical="top"/>
      <protection hidden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0" fontId="19" fillId="0" borderId="26" xfId="0" applyFont="1" applyBorder="1" applyAlignment="1" applyProtection="1">
      <alignment horizontal="center" vertical="center" wrapText="1"/>
      <protection hidden="1" locked="0"/>
    </xf>
    <xf numFmtId="49" fontId="16" fillId="0" borderId="17" xfId="0" applyNumberFormat="1" applyFont="1" applyBorder="1" applyAlignment="1" applyProtection="1">
      <alignment horizontal="center" vertical="center" wrapText="1"/>
      <protection hidden="1"/>
    </xf>
    <xf numFmtId="0" fontId="34" fillId="0" borderId="17" xfId="0" applyFont="1" applyBorder="1" applyAlignment="1" applyProtection="1">
      <alignment horizontal="center" vertical="top"/>
      <protection hidden="1"/>
    </xf>
    <xf numFmtId="0" fontId="18" fillId="0" borderId="17" xfId="0" applyFont="1" applyBorder="1" applyAlignment="1" applyProtection="1">
      <alignment horizontal="left" vertical="top" wrapText="1"/>
      <protection hidden="1"/>
    </xf>
    <xf numFmtId="0" fontId="34" fillId="0" borderId="16" xfId="0" applyFont="1" applyBorder="1" applyAlignment="1" applyProtection="1">
      <alignment horizontal="center" vertical="top" wrapText="1"/>
      <protection hidden="1"/>
    </xf>
    <xf numFmtId="0" fontId="34" fillId="0" borderId="25" xfId="0" applyFont="1" applyBorder="1" applyAlignment="1" applyProtection="1">
      <alignment horizontal="center" vertical="top" wrapText="1"/>
      <protection hidden="1"/>
    </xf>
    <xf numFmtId="0" fontId="34" fillId="0" borderId="26" xfId="0" applyFont="1" applyBorder="1" applyAlignment="1" applyProtection="1">
      <alignment horizontal="center" vertical="top" wrapText="1"/>
      <protection hidden="1"/>
    </xf>
    <xf numFmtId="0" fontId="75" fillId="0" borderId="12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75" fillId="0" borderId="12" xfId="0" applyFont="1" applyBorder="1" applyAlignment="1" applyProtection="1">
      <alignment horizontal="center" vertical="top" wrapText="1"/>
      <protection hidden="1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75" fillId="0" borderId="13" xfId="0" applyFont="1" applyBorder="1" applyAlignment="1" applyProtection="1">
      <alignment horizontal="center" vertical="top" wrapText="1"/>
      <protection hidden="1"/>
    </xf>
    <xf numFmtId="0" fontId="75" fillId="0" borderId="20" xfId="0" applyFont="1" applyBorder="1" applyAlignment="1" applyProtection="1">
      <alignment horizontal="center" vertical="top" wrapText="1"/>
      <protection hidden="1"/>
    </xf>
    <xf numFmtId="0" fontId="75" fillId="0" borderId="14" xfId="0" applyFont="1" applyBorder="1" applyAlignment="1" applyProtection="1">
      <alignment horizontal="center" vertical="top" wrapText="1"/>
      <protection hidden="1"/>
    </xf>
    <xf numFmtId="0" fontId="75" fillId="0" borderId="18" xfId="0" applyFont="1" applyBorder="1" applyAlignment="1" applyProtection="1">
      <alignment horizontal="center" vertical="top" wrapText="1"/>
      <protection hidden="1"/>
    </xf>
    <xf numFmtId="0" fontId="34" fillId="0" borderId="16" xfId="0" applyFont="1" applyBorder="1" applyAlignment="1">
      <alignment horizontal="center" vertical="center" wrapText="1"/>
    </xf>
    <xf numFmtId="0" fontId="81" fillId="0" borderId="21" xfId="0" applyFont="1" applyBorder="1" applyAlignment="1" applyProtection="1">
      <alignment horizontal="center" vertical="top"/>
      <protection hidden="1"/>
    </xf>
    <xf numFmtId="0" fontId="34" fillId="0" borderId="15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 wrapText="1"/>
      <protection hidden="1"/>
    </xf>
    <xf numFmtId="0" fontId="34" fillId="0" borderId="19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34" fillId="0" borderId="15" xfId="0" applyFont="1" applyBorder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top" wrapText="1"/>
      <protection hidden="1"/>
    </xf>
    <xf numFmtId="0" fontId="34" fillId="0" borderId="19" xfId="0" applyFont="1" applyBorder="1" applyAlignment="1" applyProtection="1">
      <alignment horizontal="center" vertical="top" wrapText="1"/>
      <protection hidden="1"/>
    </xf>
    <xf numFmtId="0" fontId="34" fillId="0" borderId="12" xfId="0" applyFont="1" applyBorder="1" applyAlignment="1" applyProtection="1">
      <alignment horizontal="center" vertical="top" wrapText="1"/>
      <protection hidden="1"/>
    </xf>
    <xf numFmtId="0" fontId="34" fillId="0" borderId="0" xfId="0" applyFont="1" applyBorder="1" applyAlignment="1" applyProtection="1">
      <alignment horizontal="center" vertical="top" wrapText="1"/>
      <protection hidden="1"/>
    </xf>
    <xf numFmtId="0" fontId="34" fillId="0" borderId="13" xfId="0" applyFont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36" fillId="0" borderId="14" xfId="0" applyFont="1" applyBorder="1" applyAlignment="1" applyProtection="1">
      <alignment horizontal="left" vertical="top" wrapText="1" indent="1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78" fillId="0" borderId="14" xfId="0" applyFont="1" applyBorder="1" applyAlignment="1" applyProtection="1">
      <alignment horizontal="left" indent="1"/>
      <protection hidden="1"/>
    </xf>
    <xf numFmtId="164" fontId="35" fillId="0" borderId="14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right" indent="1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3" fontId="75" fillId="0" borderId="0" xfId="0" applyNumberFormat="1" applyFont="1" applyAlignment="1" applyProtection="1">
      <alignment horizontal="left" vertical="top" wrapText="1" indent="1"/>
      <protection hidden="1"/>
    </xf>
    <xf numFmtId="0" fontId="34" fillId="0" borderId="0" xfId="0" applyFont="1" applyBorder="1" applyAlignment="1" applyProtection="1">
      <alignment horizontal="left" wrapText="1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254" fillId="0" borderId="15" xfId="0" applyFont="1" applyBorder="1" applyAlignment="1" applyProtection="1">
      <alignment horizontal="center" vertical="center" wrapText="1"/>
      <protection hidden="1"/>
    </xf>
    <xf numFmtId="0" fontId="254" fillId="0" borderId="21" xfId="0" applyFont="1" applyBorder="1" applyAlignment="1" applyProtection="1">
      <alignment horizontal="center" vertical="center" wrapText="1"/>
      <protection hidden="1"/>
    </xf>
    <xf numFmtId="0" fontId="254" fillId="0" borderId="19" xfId="0" applyFont="1" applyBorder="1" applyAlignment="1" applyProtection="1">
      <alignment horizontal="center" vertical="center" wrapText="1"/>
      <protection hidden="1"/>
    </xf>
    <xf numFmtId="0" fontId="254" fillId="0" borderId="12" xfId="0" applyFont="1" applyBorder="1" applyAlignment="1" applyProtection="1">
      <alignment horizontal="center" vertical="center" wrapText="1"/>
      <protection hidden="1"/>
    </xf>
    <xf numFmtId="0" fontId="254" fillId="0" borderId="0" xfId="0" applyFont="1" applyBorder="1" applyAlignment="1" applyProtection="1">
      <alignment horizontal="center" vertical="center" wrapText="1"/>
      <protection hidden="1"/>
    </xf>
    <xf numFmtId="0" fontId="254" fillId="0" borderId="13" xfId="0" applyFont="1" applyBorder="1" applyAlignment="1" applyProtection="1">
      <alignment horizontal="center" vertical="center" wrapText="1"/>
      <protection hidden="1"/>
    </xf>
    <xf numFmtId="0" fontId="78" fillId="0" borderId="14" xfId="0" applyFont="1" applyBorder="1" applyAlignment="1" applyProtection="1">
      <alignment horizontal="left"/>
      <protection hidden="1"/>
    </xf>
    <xf numFmtId="0" fontId="79" fillId="0" borderId="21" xfId="0" applyFont="1" applyBorder="1" applyAlignment="1" applyProtection="1">
      <alignment horizontal="center" vertical="top"/>
      <protection hidden="1"/>
    </xf>
    <xf numFmtId="0" fontId="92" fillId="0" borderId="0" xfId="0" applyFont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82" fillId="0" borderId="12" xfId="0" applyFont="1" applyBorder="1" applyAlignment="1" applyProtection="1">
      <alignment horizontal="left" vertical="center" indent="1"/>
      <protection hidden="1"/>
    </xf>
    <xf numFmtId="0" fontId="282" fillId="0" borderId="0" xfId="0" applyFont="1" applyBorder="1" applyAlignment="1" applyProtection="1">
      <alignment horizontal="left" vertical="center" indent="1"/>
      <protection hidden="1"/>
    </xf>
    <xf numFmtId="0" fontId="282" fillId="0" borderId="13" xfId="0" applyFont="1" applyBorder="1" applyAlignment="1" applyProtection="1">
      <alignment horizontal="left" vertical="center" indent="1"/>
      <protection hidden="1"/>
    </xf>
    <xf numFmtId="0" fontId="74" fillId="33" borderId="22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6" fillId="0" borderId="14" xfId="0" applyFont="1" applyBorder="1" applyAlignment="1" applyProtection="1">
      <alignment horizontal="left"/>
      <protection hidden="1"/>
    </xf>
    <xf numFmtId="0" fontId="281" fillId="0" borderId="23" xfId="0" applyFont="1" applyBorder="1" applyAlignment="1" applyProtection="1">
      <alignment horizontal="center" vertical="top"/>
      <protection hidden="1"/>
    </xf>
    <xf numFmtId="0" fontId="281" fillId="0" borderId="22" xfId="0" applyFont="1" applyBorder="1" applyAlignment="1" applyProtection="1">
      <alignment horizontal="center" vertical="top"/>
      <protection hidden="1"/>
    </xf>
    <xf numFmtId="0" fontId="281" fillId="0" borderId="24" xfId="0" applyFont="1" applyBorder="1" applyAlignment="1" applyProtection="1">
      <alignment horizontal="center" vertical="top"/>
      <protection hidden="1"/>
    </xf>
    <xf numFmtId="0" fontId="281" fillId="0" borderId="17" xfId="0" applyFont="1" applyBorder="1" applyAlignment="1" applyProtection="1">
      <alignment horizontal="center" vertical="top"/>
      <protection hidden="1"/>
    </xf>
    <xf numFmtId="1" fontId="35" fillId="0" borderId="14" xfId="0" applyNumberFormat="1" applyFont="1" applyFill="1" applyBorder="1" applyAlignment="1" applyProtection="1">
      <alignment horizontal="center"/>
      <protection hidden="1"/>
    </xf>
    <xf numFmtId="0" fontId="75" fillId="0" borderId="20" xfId="0" applyFont="1" applyBorder="1" applyAlignment="1">
      <alignment horizontal="left" vertical="top"/>
    </xf>
    <xf numFmtId="0" fontId="75" fillId="0" borderId="14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283" fillId="0" borderId="17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4" fillId="0" borderId="15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84" fillId="0" borderId="2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23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7" fillId="0" borderId="0" xfId="0" applyNumberFormat="1" applyFont="1" applyAlignment="1" applyProtection="1">
      <alignment horizontal="left" vertical="top" wrapText="1" indent="1"/>
      <protection hidden="1"/>
    </xf>
    <xf numFmtId="0" fontId="262" fillId="0" borderId="15" xfId="0" applyFont="1" applyBorder="1" applyAlignment="1" applyProtection="1">
      <alignment horizontal="center" vertical="center"/>
      <protection hidden="1"/>
    </xf>
    <xf numFmtId="0" fontId="262" fillId="0" borderId="21" xfId="0" applyFont="1" applyBorder="1" applyAlignment="1" applyProtection="1">
      <alignment horizontal="center" vertical="center"/>
      <protection hidden="1"/>
    </xf>
    <xf numFmtId="0" fontId="262" fillId="0" borderId="19" xfId="0" applyFont="1" applyBorder="1" applyAlignment="1" applyProtection="1">
      <alignment horizontal="center" vertical="center"/>
      <protection hidden="1"/>
    </xf>
    <xf numFmtId="0" fontId="262" fillId="0" borderId="12" xfId="0" applyFont="1" applyBorder="1" applyAlignment="1" applyProtection="1">
      <alignment horizontal="center" vertical="center"/>
      <protection hidden="1"/>
    </xf>
    <xf numFmtId="0" fontId="262" fillId="0" borderId="0" xfId="0" applyFont="1" applyBorder="1" applyAlignment="1" applyProtection="1">
      <alignment horizontal="center" vertical="center"/>
      <protection hidden="1"/>
    </xf>
    <xf numFmtId="0" fontId="262" fillId="0" borderId="13" xfId="0" applyFont="1" applyBorder="1" applyAlignment="1" applyProtection="1">
      <alignment horizontal="center" vertical="center"/>
      <protection hidden="1"/>
    </xf>
    <xf numFmtId="0" fontId="262" fillId="0" borderId="20" xfId="0" applyFont="1" applyBorder="1" applyAlignment="1" applyProtection="1">
      <alignment horizontal="center" vertical="center"/>
      <protection hidden="1"/>
    </xf>
    <xf numFmtId="0" fontId="262" fillId="0" borderId="14" xfId="0" applyFont="1" applyBorder="1" applyAlignment="1" applyProtection="1">
      <alignment horizontal="center" vertical="center"/>
      <protection hidden="1"/>
    </xf>
    <xf numFmtId="0" fontId="262" fillId="0" borderId="18" xfId="0" applyFont="1" applyBorder="1" applyAlignment="1" applyProtection="1">
      <alignment horizontal="center" vertical="center"/>
      <protection hidden="1"/>
    </xf>
    <xf numFmtId="0" fontId="284" fillId="0" borderId="15" xfId="0" applyFont="1" applyBorder="1" applyAlignment="1" applyProtection="1">
      <alignment horizontal="left" vertical="top" wrapText="1"/>
      <protection hidden="1"/>
    </xf>
    <xf numFmtId="0" fontId="284" fillId="0" borderId="21" xfId="0" applyFont="1" applyBorder="1" applyAlignment="1" applyProtection="1">
      <alignment horizontal="left" vertical="top" wrapText="1"/>
      <protection hidden="1"/>
    </xf>
    <xf numFmtId="0" fontId="284" fillId="0" borderId="19" xfId="0" applyFont="1" applyBorder="1" applyAlignment="1" applyProtection="1">
      <alignment horizontal="left" vertical="top" wrapText="1"/>
      <protection hidden="1"/>
    </xf>
    <xf numFmtId="0" fontId="284" fillId="0" borderId="12" xfId="0" applyFont="1" applyBorder="1" applyAlignment="1" applyProtection="1">
      <alignment horizontal="left" vertical="top" wrapText="1"/>
      <protection hidden="1"/>
    </xf>
    <xf numFmtId="0" fontId="284" fillId="0" borderId="0" xfId="0" applyFont="1" applyBorder="1" applyAlignment="1" applyProtection="1">
      <alignment horizontal="left" vertical="top" wrapText="1"/>
      <protection hidden="1"/>
    </xf>
    <xf numFmtId="0" fontId="284" fillId="0" borderId="13" xfId="0" applyFont="1" applyBorder="1" applyAlignment="1" applyProtection="1">
      <alignment horizontal="left" vertical="top" wrapText="1"/>
      <protection hidden="1"/>
    </xf>
    <xf numFmtId="0" fontId="84" fillId="0" borderId="0" xfId="0" applyFont="1" applyBorder="1" applyAlignment="1" applyProtection="1">
      <alignment horizontal="left" indent="1"/>
      <protection hidden="1"/>
    </xf>
    <xf numFmtId="0" fontId="84" fillId="0" borderId="13" xfId="0" applyFont="1" applyBorder="1" applyAlignment="1" applyProtection="1">
      <alignment horizontal="left" inden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283" fillId="0" borderId="15" xfId="0" applyFont="1" applyBorder="1" applyAlignment="1" applyProtection="1">
      <alignment horizontal="center" vertical="center" wrapText="1"/>
      <protection hidden="1" locked="0"/>
    </xf>
    <xf numFmtId="0" fontId="283" fillId="0" borderId="21" xfId="0" applyFont="1" applyBorder="1" applyAlignment="1" applyProtection="1">
      <alignment horizontal="center" vertical="center" wrapText="1"/>
      <protection hidden="1" locked="0"/>
    </xf>
    <xf numFmtId="0" fontId="283" fillId="0" borderId="19" xfId="0" applyFont="1" applyBorder="1" applyAlignment="1" applyProtection="1">
      <alignment horizontal="center" vertical="center" wrapText="1"/>
      <protection hidden="1" locked="0"/>
    </xf>
    <xf numFmtId="0" fontId="283" fillId="0" borderId="20" xfId="0" applyFont="1" applyBorder="1" applyAlignment="1" applyProtection="1">
      <alignment horizontal="center" vertical="center" wrapText="1"/>
      <protection hidden="1" locked="0"/>
    </xf>
    <xf numFmtId="0" fontId="283" fillId="0" borderId="14" xfId="0" applyFont="1" applyBorder="1" applyAlignment="1" applyProtection="1">
      <alignment horizontal="center" vertical="center" wrapText="1"/>
      <protection hidden="1" locked="0"/>
    </xf>
    <xf numFmtId="0" fontId="283" fillId="0" borderId="18" xfId="0" applyFont="1" applyBorder="1" applyAlignment="1" applyProtection="1">
      <alignment horizontal="center" vertical="center" wrapText="1"/>
      <protection hidden="1" locked="0"/>
    </xf>
    <xf numFmtId="0" fontId="284" fillId="0" borderId="15" xfId="0" applyFont="1" applyBorder="1" applyAlignment="1" applyProtection="1">
      <alignment horizontal="left" vertical="top" wrapText="1"/>
      <protection hidden="1" locked="0"/>
    </xf>
    <xf numFmtId="0" fontId="284" fillId="0" borderId="21" xfId="0" applyFont="1" applyBorder="1" applyAlignment="1" applyProtection="1">
      <alignment horizontal="left" vertical="top" wrapText="1"/>
      <protection hidden="1" locked="0"/>
    </xf>
    <xf numFmtId="0" fontId="284" fillId="0" borderId="19" xfId="0" applyFont="1" applyBorder="1" applyAlignment="1" applyProtection="1">
      <alignment horizontal="left" vertical="top" wrapText="1"/>
      <protection hidden="1" locked="0"/>
    </xf>
    <xf numFmtId="0" fontId="284" fillId="0" borderId="20" xfId="0" applyFont="1" applyBorder="1" applyAlignment="1" applyProtection="1">
      <alignment horizontal="left" vertical="top" wrapText="1"/>
      <protection hidden="1" locked="0"/>
    </xf>
    <xf numFmtId="0" fontId="284" fillId="0" borderId="14" xfId="0" applyFont="1" applyBorder="1" applyAlignment="1" applyProtection="1">
      <alignment horizontal="left" vertical="top" wrapText="1"/>
      <protection hidden="1" locked="0"/>
    </xf>
    <xf numFmtId="0" fontId="284" fillId="0" borderId="18" xfId="0" applyFont="1" applyBorder="1" applyAlignment="1" applyProtection="1">
      <alignment horizontal="left" vertical="top" wrapText="1"/>
      <protection hidden="1" locked="0"/>
    </xf>
    <xf numFmtId="0" fontId="282" fillId="0" borderId="12" xfId="0" applyFont="1" applyBorder="1" applyAlignment="1" applyProtection="1">
      <alignment horizontal="left" indent="1"/>
      <protection hidden="1"/>
    </xf>
    <xf numFmtId="0" fontId="282" fillId="0" borderId="0" xfId="0" applyFont="1" applyBorder="1" applyAlignment="1" applyProtection="1">
      <alignment horizontal="left" indent="1"/>
      <protection hidden="1"/>
    </xf>
    <xf numFmtId="0" fontId="282" fillId="0" borderId="13" xfId="0" applyFont="1" applyBorder="1" applyAlignment="1" applyProtection="1">
      <alignment horizontal="left" indent="1"/>
      <protection hidden="1"/>
    </xf>
    <xf numFmtId="0" fontId="282" fillId="0" borderId="20" xfId="0" applyFont="1" applyBorder="1" applyAlignment="1" applyProtection="1">
      <alignment horizontal="left" indent="1"/>
      <protection hidden="1"/>
    </xf>
    <xf numFmtId="0" fontId="282" fillId="0" borderId="14" xfId="0" applyFont="1" applyBorder="1" applyAlignment="1" applyProtection="1">
      <alignment horizontal="left" indent="1"/>
      <protection hidden="1"/>
    </xf>
    <xf numFmtId="0" fontId="282" fillId="0" borderId="18" xfId="0" applyFont="1" applyBorder="1" applyAlignment="1" applyProtection="1">
      <alignment horizontal="left" indent="1"/>
      <protection hidden="1"/>
    </xf>
    <xf numFmtId="0" fontId="217" fillId="42" borderId="0" xfId="0" applyFont="1" applyFill="1" applyBorder="1" applyAlignment="1" applyProtection="1">
      <alignment horizontal="center" vertical="center"/>
      <protection hidden="1"/>
    </xf>
    <xf numFmtId="0" fontId="84" fillId="0" borderId="20" xfId="0" applyFont="1" applyBorder="1" applyAlignment="1" applyProtection="1">
      <alignment horizontal="left" vertical="top" indent="1"/>
      <protection hidden="1"/>
    </xf>
    <xf numFmtId="0" fontId="84" fillId="0" borderId="14" xfId="0" applyFont="1" applyBorder="1" applyAlignment="1" applyProtection="1">
      <alignment horizontal="left" vertical="top" indent="1"/>
      <protection hidden="1"/>
    </xf>
    <xf numFmtId="0" fontId="84" fillId="0" borderId="18" xfId="0" applyFont="1" applyBorder="1" applyAlignment="1" applyProtection="1">
      <alignment horizontal="left" vertical="top" indent="1"/>
      <protection hidden="1"/>
    </xf>
    <xf numFmtId="0" fontId="84" fillId="0" borderId="0" xfId="0" applyFont="1" applyBorder="1" applyAlignment="1" applyProtection="1">
      <alignment horizontal="left" vertical="center" indent="1"/>
      <protection hidden="1"/>
    </xf>
    <xf numFmtId="0" fontId="84" fillId="0" borderId="13" xfId="0" applyFont="1" applyBorder="1" applyAlignment="1" applyProtection="1">
      <alignment horizontal="left" vertical="center" indent="1"/>
      <protection hidden="1"/>
    </xf>
    <xf numFmtId="0" fontId="34" fillId="0" borderId="20" xfId="0" applyFont="1" applyBorder="1" applyAlignment="1" applyProtection="1">
      <alignment horizontal="center" vertical="top" wrapText="1"/>
      <protection hidden="1"/>
    </xf>
    <xf numFmtId="0" fontId="34" fillId="0" borderId="14" xfId="0" applyFont="1" applyBorder="1" applyAlignment="1" applyProtection="1">
      <alignment horizontal="center" vertical="top" wrapText="1"/>
      <protection hidden="1"/>
    </xf>
    <xf numFmtId="0" fontId="34" fillId="0" borderId="18" xfId="0" applyFont="1" applyBorder="1" applyAlignment="1" applyProtection="1">
      <alignment horizontal="center" vertical="top" wrapText="1"/>
      <protection hidden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54" fillId="0" borderId="14" xfId="0" applyFont="1" applyBorder="1" applyAlignment="1" applyProtection="1">
      <alignment horizontal="center" vertical="center" wrapText="1"/>
      <protection hidden="1"/>
    </xf>
    <xf numFmtId="0" fontId="254" fillId="0" borderId="18" xfId="0" applyFont="1" applyBorder="1" applyAlignment="1" applyProtection="1">
      <alignment horizontal="center" vertical="center" wrapText="1"/>
      <protection hidden="1"/>
    </xf>
    <xf numFmtId="0" fontId="251" fillId="0" borderId="0" xfId="0" applyFont="1" applyAlignment="1" applyProtection="1">
      <alignment horizontal="left" vertical="top" wrapText="1"/>
      <protection hidden="1"/>
    </xf>
    <xf numFmtId="0" fontId="61" fillId="34" borderId="23" xfId="42" applyFont="1" applyFill="1" applyBorder="1" applyAlignment="1" applyProtection="1">
      <alignment horizontal="center" vertical="top"/>
      <protection hidden="1"/>
    </xf>
    <xf numFmtId="0" fontId="61" fillId="34" borderId="22" xfId="42" applyFont="1" applyFill="1" applyBorder="1" applyAlignment="1" applyProtection="1">
      <alignment horizontal="center" vertical="top"/>
      <protection hidden="1"/>
    </xf>
    <xf numFmtId="0" fontId="61" fillId="34" borderId="24" xfId="42" applyFont="1" applyFill="1" applyBorder="1" applyAlignment="1" applyProtection="1">
      <alignment horizontal="center" vertical="top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285" fillId="0" borderId="12" xfId="0" applyFont="1" applyBorder="1" applyAlignment="1" applyProtection="1">
      <alignment horizontal="left" vertical="top" wrapText="1"/>
      <protection hidden="1"/>
    </xf>
    <xf numFmtId="0" fontId="285" fillId="0" borderId="0" xfId="0" applyFont="1" applyBorder="1" applyAlignment="1" applyProtection="1">
      <alignment horizontal="left" vertical="top" wrapText="1"/>
      <protection hidden="1"/>
    </xf>
    <xf numFmtId="0" fontId="285" fillId="0" borderId="13" xfId="0" applyFont="1" applyBorder="1" applyAlignment="1" applyProtection="1">
      <alignment horizontal="left" vertical="top" wrapText="1"/>
      <protection hidden="1"/>
    </xf>
    <xf numFmtId="0" fontId="285" fillId="0" borderId="20" xfId="0" applyFont="1" applyBorder="1" applyAlignment="1" applyProtection="1">
      <alignment horizontal="left" vertical="top" wrapText="1"/>
      <protection hidden="1"/>
    </xf>
    <xf numFmtId="0" fontId="285" fillId="0" borderId="14" xfId="0" applyFont="1" applyBorder="1" applyAlignment="1" applyProtection="1">
      <alignment horizontal="left" vertical="top" wrapText="1"/>
      <protection hidden="1"/>
    </xf>
    <xf numFmtId="0" fontId="285" fillId="0" borderId="18" xfId="0" applyFont="1" applyBorder="1" applyAlignment="1" applyProtection="1">
      <alignment horizontal="left" vertical="top" wrapText="1"/>
      <protection hidden="1"/>
    </xf>
    <xf numFmtId="0" fontId="89" fillId="38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5" fillId="0" borderId="0" xfId="0" applyFont="1" applyFill="1" applyAlignment="1" applyProtection="1">
      <alignment horizontal="center" vertical="top" wrapText="1"/>
      <protection hidden="1"/>
    </xf>
    <xf numFmtId="0" fontId="117" fillId="0" borderId="0" xfId="0" applyFont="1" applyBorder="1" applyAlignment="1" applyProtection="1">
      <alignment horizontal="center" vertical="top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3" fontId="18" fillId="0" borderId="15" xfId="0" applyNumberFormat="1" applyFont="1" applyBorder="1" applyAlignment="1" applyProtection="1">
      <alignment horizontal="left" vertical="top" wrapText="1"/>
      <protection locked="0"/>
    </xf>
    <xf numFmtId="3" fontId="18" fillId="0" borderId="21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20" xfId="0" applyNumberFormat="1" applyFont="1" applyBorder="1" applyAlignment="1" applyProtection="1">
      <alignment horizontal="left" vertical="top" wrapText="1"/>
      <protection locked="0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0" fontId="34" fillId="0" borderId="16" xfId="0" applyFont="1" applyBorder="1" applyAlignment="1" applyProtection="1">
      <alignment horizontal="left" vertical="top"/>
      <protection hidden="1"/>
    </xf>
    <xf numFmtId="0" fontId="34" fillId="0" borderId="25" xfId="0" applyFont="1" applyBorder="1" applyAlignment="1" applyProtection="1">
      <alignment horizontal="left" vertical="top"/>
      <protection hidden="1"/>
    </xf>
    <xf numFmtId="0" fontId="34" fillId="0" borderId="26" xfId="0" applyFont="1" applyBorder="1" applyAlignment="1" applyProtection="1">
      <alignment horizontal="left" vertical="top"/>
      <protection hidden="1"/>
    </xf>
    <xf numFmtId="0" fontId="75" fillId="0" borderId="20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left" vertical="center" wrapText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right"/>
      <protection hidden="1"/>
    </xf>
    <xf numFmtId="0" fontId="84" fillId="0" borderId="20" xfId="0" applyFont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84" fillId="0" borderId="18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49" fontId="18" fillId="0" borderId="23" xfId="0" applyNumberFormat="1" applyFont="1" applyBorder="1" applyAlignment="1" applyProtection="1">
      <alignment horizontal="center" wrapText="1"/>
      <protection hidden="1"/>
    </xf>
    <xf numFmtId="49" fontId="18" fillId="0" borderId="22" xfId="0" applyNumberFormat="1" applyFont="1" applyBorder="1" applyAlignment="1" applyProtection="1">
      <alignment horizontal="center" wrapText="1"/>
      <protection hidden="1"/>
    </xf>
    <xf numFmtId="49" fontId="18" fillId="0" borderId="24" xfId="0" applyNumberFormat="1" applyFont="1" applyBorder="1" applyAlignment="1" applyProtection="1">
      <alignment horizontal="center" wrapText="1"/>
      <protection hidden="1"/>
    </xf>
    <xf numFmtId="0" fontId="75" fillId="0" borderId="12" xfId="0" applyFont="1" applyBorder="1" applyAlignment="1" applyProtection="1">
      <alignment horizontal="center" vertical="center" wrapText="1"/>
      <protection hidden="1"/>
    </xf>
    <xf numFmtId="0" fontId="75" fillId="0" borderId="0" xfId="0" applyFont="1" applyBorder="1" applyAlignment="1" applyProtection="1">
      <alignment horizontal="center" vertical="center" wrapText="1"/>
      <protection hidden="1"/>
    </xf>
    <xf numFmtId="0" fontId="75" fillId="0" borderId="13" xfId="0" applyFont="1" applyBorder="1" applyAlignment="1" applyProtection="1">
      <alignment horizontal="center" vertical="center" wrapText="1"/>
      <protection hidden="1"/>
    </xf>
    <xf numFmtId="0" fontId="75" fillId="0" borderId="20" xfId="0" applyFont="1" applyBorder="1" applyAlignment="1" applyProtection="1">
      <alignment horizontal="center" vertical="center" wrapText="1"/>
      <protection hidden="1"/>
    </xf>
    <xf numFmtId="0" fontId="75" fillId="0" borderId="14" xfId="0" applyFont="1" applyBorder="1" applyAlignment="1" applyProtection="1">
      <alignment horizontal="center" vertical="center" wrapText="1"/>
      <protection hidden="1"/>
    </xf>
    <xf numFmtId="0" fontId="75" fillId="0" borderId="18" xfId="0" applyFont="1" applyBorder="1" applyAlignment="1" applyProtection="1">
      <alignment horizontal="center" vertical="center" wrapText="1"/>
      <protection hidden="1"/>
    </xf>
    <xf numFmtId="0" fontId="75" fillId="0" borderId="12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/>
    </xf>
    <xf numFmtId="0" fontId="75" fillId="0" borderId="13" xfId="0" applyFont="1" applyBorder="1" applyAlignment="1">
      <alignment horizontal="left" vertical="top"/>
    </xf>
    <xf numFmtId="0" fontId="84" fillId="0" borderId="12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left" indent="2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120</xdr:row>
      <xdr:rowOff>0</xdr:rowOff>
    </xdr:from>
    <xdr:to>
      <xdr:col>9</xdr:col>
      <xdr:colOff>466725</xdr:colOff>
      <xdr:row>123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46860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00550"/>
          <a:ext cx="75628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5628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89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591425"/>
          <a:ext cx="7562850" cy="323850"/>
          <a:chOff x="0" y="7515225"/>
          <a:chExt cx="6572250" cy="32385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751522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7677150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783907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439</xdr:row>
      <xdr:rowOff>9525</xdr:rowOff>
    </xdr:from>
    <xdr:to>
      <xdr:col>23</xdr:col>
      <xdr:colOff>38100</xdr:colOff>
      <xdr:row>442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19050" y="62484000"/>
          <a:ext cx="75723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70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3.375" style="5" hidden="1" customWidth="1"/>
    <col min="16" max="16" width="9.875" style="5" hidden="1" customWidth="1"/>
    <col min="17" max="17" width="13.25390625" style="5" hidden="1" customWidth="1"/>
    <col min="18" max="18" width="8.00390625" style="5" hidden="1" customWidth="1"/>
    <col min="19" max="19" width="41.875" style="5" hidden="1" customWidth="1"/>
    <col min="20" max="20" width="1.12109375" style="5" customWidth="1"/>
    <col min="21" max="16384" width="9.125" style="5" customWidth="1"/>
  </cols>
  <sheetData>
    <row r="1" spans="1:20" ht="15.75" customHeight="1">
      <c r="A1" s="681" t="str">
        <f>A128</f>
        <v>Введите данные в ячейки, выделенные голубым и зеленым цветом</v>
      </c>
      <c r="B1" s="682"/>
      <c r="C1" s="682"/>
      <c r="D1" s="682"/>
      <c r="E1" s="682"/>
      <c r="F1" s="682"/>
      <c r="G1" s="682"/>
      <c r="H1" s="682"/>
      <c r="I1" s="682"/>
      <c r="J1" s="683"/>
      <c r="K1" s="1"/>
      <c r="T1" s="621" t="s">
        <v>609</v>
      </c>
    </row>
    <row r="2" spans="1:20" ht="13.5" customHeight="1">
      <c r="A2" s="662"/>
      <c r="B2" s="663"/>
      <c r="C2" s="663"/>
      <c r="D2" s="663"/>
      <c r="E2" s="663"/>
      <c r="F2" s="663"/>
      <c r="G2" s="663"/>
      <c r="H2" s="663"/>
      <c r="I2" s="663"/>
      <c r="J2" s="664"/>
      <c r="K2" s="1"/>
      <c r="T2" s="618" t="s">
        <v>535</v>
      </c>
    </row>
    <row r="3" spans="1:20" ht="35.25" customHeight="1" thickBot="1">
      <c r="A3" s="684" t="s">
        <v>0</v>
      </c>
      <c r="B3" s="685"/>
      <c r="C3" s="685"/>
      <c r="D3" s="685"/>
      <c r="E3" s="685"/>
      <c r="F3" s="685"/>
      <c r="G3" s="685"/>
      <c r="H3" s="685"/>
      <c r="I3" s="685"/>
      <c r="J3" s="686"/>
      <c r="K3" s="6"/>
      <c r="L3" s="7" t="s">
        <v>1</v>
      </c>
      <c r="M3" s="8"/>
      <c r="S3" s="395"/>
      <c r="T3" s="619"/>
    </row>
    <row r="4" spans="1:20" ht="17.25" customHeight="1" thickBot="1">
      <c r="A4" s="540" t="s">
        <v>2</v>
      </c>
      <c r="B4" s="687">
        <v>1</v>
      </c>
      <c r="C4" s="688"/>
      <c r="D4" s="541"/>
      <c r="E4" s="549" t="s">
        <v>369</v>
      </c>
      <c r="F4" s="542"/>
      <c r="G4" s="543"/>
      <c r="H4" s="678" t="s">
        <v>180</v>
      </c>
      <c r="I4" s="678"/>
      <c r="J4" s="679"/>
      <c r="K4" s="9"/>
      <c r="L4" s="9"/>
      <c r="M4" s="9"/>
      <c r="N4" s="9"/>
      <c r="O4" s="9"/>
      <c r="P4" s="9"/>
      <c r="Q4" s="9"/>
      <c r="S4" s="395"/>
      <c r="T4" s="619"/>
    </row>
    <row r="5" spans="1:23" ht="10.5" customHeight="1">
      <c r="A5" s="544"/>
      <c r="B5" s="541"/>
      <c r="C5" s="541"/>
      <c r="D5" s="541"/>
      <c r="E5" s="550" t="str">
        <f aca="true" t="shared" si="0" ref="E5:E16">VLOOKUP(A131,$A$131:$H$143,$B$4+1)</f>
        <v>Балашиха</v>
      </c>
      <c r="F5" s="545"/>
      <c r="G5" s="390"/>
      <c r="H5" s="624" t="s">
        <v>584</v>
      </c>
      <c r="I5" s="624"/>
      <c r="J5" s="625"/>
      <c r="K5" s="9"/>
      <c r="L5" s="9"/>
      <c r="M5" s="9"/>
      <c r="N5" s="9"/>
      <c r="O5" s="9"/>
      <c r="P5" s="9"/>
      <c r="Q5" s="9"/>
      <c r="S5" s="395"/>
      <c r="T5" s="619"/>
      <c r="W5" s="581"/>
    </row>
    <row r="6" spans="1:20" ht="10.5" customHeight="1">
      <c r="A6" s="544"/>
      <c r="B6" s="541"/>
      <c r="C6" s="541"/>
      <c r="D6" s="541"/>
      <c r="E6" s="550" t="str">
        <f t="shared" si="0"/>
        <v>Богородский</v>
      </c>
      <c r="F6" s="545"/>
      <c r="G6" s="390"/>
      <c r="H6" s="624"/>
      <c r="I6" s="624"/>
      <c r="J6" s="625"/>
      <c r="K6" s="9"/>
      <c r="L6" s="9"/>
      <c r="M6" s="9"/>
      <c r="N6" s="9"/>
      <c r="O6" s="9"/>
      <c r="P6" s="9"/>
      <c r="Q6" s="9"/>
      <c r="S6" s="395"/>
      <c r="T6" s="619"/>
    </row>
    <row r="7" spans="1:20" ht="10.5" customHeight="1">
      <c r="A7" s="544"/>
      <c r="B7" s="541"/>
      <c r="C7" s="541"/>
      <c r="D7" s="541"/>
      <c r="E7" s="550" t="str">
        <f t="shared" si="0"/>
        <v>Орехово-Зуевский</v>
      </c>
      <c r="F7" s="545"/>
      <c r="G7" s="390"/>
      <c r="H7" s="624"/>
      <c r="I7" s="624"/>
      <c r="J7" s="625"/>
      <c r="K7" s="9"/>
      <c r="L7" s="9"/>
      <c r="M7" s="9"/>
      <c r="N7" s="9"/>
      <c r="O7" s="9"/>
      <c r="P7" s="9"/>
      <c r="Q7" s="9"/>
      <c r="S7" s="395"/>
      <c r="T7" s="619"/>
    </row>
    <row r="8" spans="1:20" ht="10.5" customHeight="1" thickBot="1">
      <c r="A8" s="544"/>
      <c r="B8" s="541"/>
      <c r="C8" s="541"/>
      <c r="D8" s="541"/>
      <c r="E8" s="550" t="str">
        <f t="shared" si="0"/>
        <v>Павловский Посад</v>
      </c>
      <c r="F8" s="545"/>
      <c r="G8" s="390"/>
      <c r="H8" s="696" t="s">
        <v>585</v>
      </c>
      <c r="I8" s="696"/>
      <c r="J8" s="697"/>
      <c r="K8" s="9"/>
      <c r="L8" s="9"/>
      <c r="M8" s="9"/>
      <c r="N8" s="9"/>
      <c r="O8" s="9"/>
      <c r="P8" s="9"/>
      <c r="Q8" s="9"/>
      <c r="S8" s="395"/>
      <c r="T8" s="619"/>
    </row>
    <row r="9" spans="1:20" ht="10.5" customHeight="1" thickTop="1">
      <c r="A9" s="544"/>
      <c r="B9" s="541"/>
      <c r="C9" s="541"/>
      <c r="D9" s="541"/>
      <c r="E9" s="550" t="str">
        <f t="shared" si="0"/>
        <v>Реутов</v>
      </c>
      <c r="F9" s="545"/>
      <c r="G9" s="390"/>
      <c r="H9" s="696"/>
      <c r="I9" s="696"/>
      <c r="J9" s="697"/>
      <c r="K9" s="9"/>
      <c r="L9" s="11"/>
      <c r="O9" s="10"/>
      <c r="S9" s="395"/>
      <c r="T9" s="619"/>
    </row>
    <row r="10" spans="1:20" ht="10.5" customHeight="1" thickBot="1">
      <c r="A10" s="544"/>
      <c r="B10" s="541"/>
      <c r="C10" s="541"/>
      <c r="D10" s="541"/>
      <c r="E10" s="550" t="str">
        <f t="shared" si="0"/>
        <v>Черноголовка</v>
      </c>
      <c r="F10" s="545"/>
      <c r="G10" s="390"/>
      <c r="H10" s="696"/>
      <c r="I10" s="696"/>
      <c r="J10" s="697"/>
      <c r="K10" s="9"/>
      <c r="L10" s="13"/>
      <c r="M10" s="465" t="str">
        <f>"порог для __"&amp;ЗаявлКатег_ОС&amp;"__"&amp;B24</f>
        <v>порог для __первая__воспитатель ДОО</v>
      </c>
      <c r="N10" s="463"/>
      <c r="O10" s="464"/>
      <c r="P10" s="462">
        <f>VLOOKUP(ЗаявлКатег_ОС,M12:N13,2)</f>
        <v>210</v>
      </c>
      <c r="S10" s="395"/>
      <c r="T10" s="619"/>
    </row>
    <row r="11" spans="1:20" ht="10.5" customHeight="1" thickTop="1">
      <c r="A11" s="544"/>
      <c r="B11" s="541"/>
      <c r="C11" s="541"/>
      <c r="D11" s="541"/>
      <c r="E11" s="550" t="str">
        <f t="shared" si="0"/>
        <v>Электрогорск</v>
      </c>
      <c r="F11" s="545"/>
      <c r="G11" s="390"/>
      <c r="H11" s="696"/>
      <c r="I11" s="696"/>
      <c r="J11" s="697"/>
      <c r="K11" s="9"/>
      <c r="M11" s="461"/>
      <c r="N11" s="461"/>
      <c r="P11" s="375" t="s">
        <v>5</v>
      </c>
      <c r="S11" s="395"/>
      <c r="T11" s="619"/>
    </row>
    <row r="12" spans="1:20" ht="10.5" customHeight="1">
      <c r="A12" s="544"/>
      <c r="B12" s="541"/>
      <c r="C12" s="541"/>
      <c r="D12" s="541"/>
      <c r="E12" s="550" t="str">
        <f t="shared" si="0"/>
        <v>Электросталь</v>
      </c>
      <c r="F12" s="545"/>
      <c r="G12" s="390"/>
      <c r="H12" s="696"/>
      <c r="I12" s="696"/>
      <c r="J12" s="697"/>
      <c r="K12" s="9"/>
      <c r="L12" s="466" t="s">
        <v>508</v>
      </c>
      <c r="M12" s="376" t="s">
        <v>4</v>
      </c>
      <c r="N12" s="385">
        <f>VLOOKUP($B$24,$L$18:$N$24,3)</f>
        <v>400</v>
      </c>
      <c r="P12" s="374">
        <f>VLOOKUP(B24,L18:P24,5)</f>
        <v>0</v>
      </c>
      <c r="S12" s="395"/>
      <c r="T12" s="619"/>
    </row>
    <row r="13" spans="1:20" ht="12.75" customHeight="1">
      <c r="A13" s="544"/>
      <c r="B13" s="541"/>
      <c r="C13" s="541"/>
      <c r="D13" s="541"/>
      <c r="E13" s="550" t="str">
        <f t="shared" si="0"/>
        <v> </v>
      </c>
      <c r="F13" s="545"/>
      <c r="G13" s="390"/>
      <c r="H13" s="624" t="s">
        <v>600</v>
      </c>
      <c r="I13" s="624"/>
      <c r="J13" s="625"/>
      <c r="K13" s="9"/>
      <c r="M13" s="377" t="s">
        <v>3</v>
      </c>
      <c r="N13" s="385">
        <f>VLOOKUP($B$24,$L$18:$N$24,2)</f>
        <v>210</v>
      </c>
      <c r="P13" s="473" t="str">
        <f>VLOOKUP(B24,L20:Q25,4)</f>
        <v>ДОО</v>
      </c>
      <c r="S13" s="395"/>
      <c r="T13" s="619"/>
    </row>
    <row r="14" spans="1:20" ht="10.5" customHeight="1">
      <c r="A14" s="546"/>
      <c r="B14" s="390"/>
      <c r="C14" s="541"/>
      <c r="D14" s="541"/>
      <c r="E14" s="550" t="str">
        <f t="shared" si="0"/>
        <v> </v>
      </c>
      <c r="F14" s="545"/>
      <c r="G14" s="390"/>
      <c r="H14" s="624"/>
      <c r="I14" s="624"/>
      <c r="J14" s="625"/>
      <c r="K14" s="9"/>
      <c r="L14" s="16"/>
      <c r="O14" s="20"/>
      <c r="P14" s="21"/>
      <c r="S14" s="395"/>
      <c r="T14" s="619"/>
    </row>
    <row r="15" spans="1:20" ht="10.5" customHeight="1">
      <c r="A15" s="544"/>
      <c r="B15" s="390"/>
      <c r="C15" s="541"/>
      <c r="D15" s="541"/>
      <c r="E15" s="550" t="str">
        <f t="shared" si="0"/>
        <v> </v>
      </c>
      <c r="F15" s="545"/>
      <c r="G15" s="390"/>
      <c r="H15" s="624"/>
      <c r="I15" s="624"/>
      <c r="J15" s="625"/>
      <c r="K15" s="9"/>
      <c r="L15" s="16"/>
      <c r="O15" s="18"/>
      <c r="P15" s="21"/>
      <c r="S15" s="395"/>
      <c r="T15" s="619"/>
    </row>
    <row r="16" spans="1:20" ht="10.5" customHeight="1">
      <c r="A16" s="544"/>
      <c r="B16" s="390"/>
      <c r="C16" s="390"/>
      <c r="D16" s="390"/>
      <c r="E16" s="551" t="str">
        <f t="shared" si="0"/>
        <v> </v>
      </c>
      <c r="F16" s="547"/>
      <c r="G16" s="390"/>
      <c r="H16" s="624"/>
      <c r="I16" s="624"/>
      <c r="J16" s="625"/>
      <c r="K16" s="26"/>
      <c r="L16" s="19"/>
      <c r="M16" s="17"/>
      <c r="N16" s="17"/>
      <c r="O16" s="20"/>
      <c r="P16" s="21"/>
      <c r="S16" s="395"/>
      <c r="T16" s="619"/>
    </row>
    <row r="17" spans="1:20" ht="3.75" customHeight="1">
      <c r="A17" s="544"/>
      <c r="B17" s="390"/>
      <c r="C17" s="390"/>
      <c r="D17" s="390"/>
      <c r="E17" s="548"/>
      <c r="F17" s="390"/>
      <c r="G17" s="390"/>
      <c r="H17" s="624"/>
      <c r="I17" s="624"/>
      <c r="J17" s="625"/>
      <c r="K17" s="27"/>
      <c r="L17" s="13"/>
      <c r="M17" s="17" t="s">
        <v>3</v>
      </c>
      <c r="N17" s="17" t="s">
        <v>4</v>
      </c>
      <c r="P17" s="15"/>
      <c r="S17" s="395"/>
      <c r="T17" s="619"/>
    </row>
    <row r="18" spans="1:20" ht="24" customHeight="1" hidden="1">
      <c r="A18" s="694" t="s">
        <v>590</v>
      </c>
      <c r="B18" s="695"/>
      <c r="C18" s="695"/>
      <c r="D18" s="695"/>
      <c r="E18" s="695"/>
      <c r="F18" s="695"/>
      <c r="G18" s="695"/>
      <c r="H18" s="695"/>
      <c r="I18" s="411"/>
      <c r="J18" s="412"/>
      <c r="K18" s="279" t="str">
        <f>IF(COUNTIF(C20:C22,"да"),"да","нет")</f>
        <v>нет</v>
      </c>
      <c r="L18" s="475" t="s">
        <v>486</v>
      </c>
      <c r="M18" s="23">
        <v>210</v>
      </c>
      <c r="N18" s="23">
        <v>450</v>
      </c>
      <c r="O18" s="24" t="s">
        <v>488</v>
      </c>
      <c r="P18" s="425">
        <v>1</v>
      </c>
      <c r="S18" s="395"/>
      <c r="T18" s="619"/>
    </row>
    <row r="19" spans="1:20" ht="15.75" hidden="1">
      <c r="A19" s="478" t="s">
        <v>472</v>
      </c>
      <c r="B19" s="479"/>
      <c r="C19" s="479"/>
      <c r="D19" s="31"/>
      <c r="E19" s="31"/>
      <c r="F19" s="31"/>
      <c r="G19" s="32"/>
      <c r="H19" s="14"/>
      <c r="I19" s="14"/>
      <c r="J19" s="30"/>
      <c r="L19" s="474" t="s">
        <v>487</v>
      </c>
      <c r="M19" s="426">
        <v>270</v>
      </c>
      <c r="N19" s="426">
        <v>510</v>
      </c>
      <c r="O19" s="427" t="s">
        <v>488</v>
      </c>
      <c r="P19" s="428">
        <v>2</v>
      </c>
      <c r="S19" s="395"/>
      <c r="T19" s="619"/>
    </row>
    <row r="20" spans="1:20" ht="15" hidden="1">
      <c r="A20" s="316"/>
      <c r="B20" s="480" t="s">
        <v>470</v>
      </c>
      <c r="C20" s="481" t="s">
        <v>26</v>
      </c>
      <c r="J20" s="30"/>
      <c r="K20" s="27"/>
      <c r="L20" s="469" t="s">
        <v>518</v>
      </c>
      <c r="M20" s="470">
        <v>210</v>
      </c>
      <c r="N20" s="470">
        <v>400</v>
      </c>
      <c r="O20" s="471" t="s">
        <v>519</v>
      </c>
      <c r="P20" s="472">
        <v>0</v>
      </c>
      <c r="Q20" s="471" t="s">
        <v>527</v>
      </c>
      <c r="S20" s="395"/>
      <c r="T20" s="619"/>
    </row>
    <row r="21" spans="1:20" ht="15" hidden="1">
      <c r="A21" s="316"/>
      <c r="B21" s="482" t="s">
        <v>471</v>
      </c>
      <c r="C21" s="481" t="s">
        <v>26</v>
      </c>
      <c r="F21" s="14"/>
      <c r="G21" s="14"/>
      <c r="J21" s="30"/>
      <c r="K21" s="27"/>
      <c r="L21" s="469" t="s">
        <v>526</v>
      </c>
      <c r="M21" s="470">
        <v>230</v>
      </c>
      <c r="N21" s="470">
        <v>420</v>
      </c>
      <c r="O21" s="471" t="s">
        <v>488</v>
      </c>
      <c r="P21" s="472">
        <v>1</v>
      </c>
      <c r="Q21" s="24" t="s">
        <v>528</v>
      </c>
      <c r="S21" s="395"/>
      <c r="T21" s="619"/>
    </row>
    <row r="22" spans="1:20" ht="15" hidden="1">
      <c r="A22" s="316"/>
      <c r="B22" s="482" t="s">
        <v>350</v>
      </c>
      <c r="C22" s="481" t="s">
        <v>26</v>
      </c>
      <c r="E22" s="680" t="s">
        <v>314</v>
      </c>
      <c r="F22" s="680"/>
      <c r="G22" s="680"/>
      <c r="H22" s="680"/>
      <c r="I22" s="680"/>
      <c r="J22" s="680"/>
      <c r="K22" s="27"/>
      <c r="L22" s="22"/>
      <c r="M22" s="23"/>
      <c r="N22" s="23"/>
      <c r="O22" s="24"/>
      <c r="P22" s="25"/>
      <c r="Q22" s="24"/>
      <c r="S22" s="395"/>
      <c r="T22" s="619"/>
    </row>
    <row r="23" spans="3:20" ht="9.75" customHeight="1" hidden="1">
      <c r="C23" s="63"/>
      <c r="E23" s="409">
        <f>IF(C22="да","укажите наименование др.мониторингов","")</f>
      </c>
      <c r="L23" s="469"/>
      <c r="M23" s="470"/>
      <c r="N23" s="470"/>
      <c r="O23" s="471"/>
      <c r="P23" s="472"/>
      <c r="Q23" s="24"/>
      <c r="S23" s="395"/>
      <c r="T23" s="619"/>
    </row>
    <row r="24" spans="1:20" ht="15" hidden="1">
      <c r="A24" s="32" t="s">
        <v>8</v>
      </c>
      <c r="B24" s="693" t="s">
        <v>518</v>
      </c>
      <c r="C24" s="693"/>
      <c r="D24" s="693"/>
      <c r="E24" s="693"/>
      <c r="F24" s="693"/>
      <c r="G24" s="693"/>
      <c r="H24" s="693"/>
      <c r="I24" s="693"/>
      <c r="K24" s="396" t="str">
        <f>IF(K18="да",L19,L18)</f>
        <v> без учета мониторингов системы образования</v>
      </c>
      <c r="L24" s="22"/>
      <c r="M24" s="17"/>
      <c r="N24" s="17"/>
      <c r="O24" s="24"/>
      <c r="P24" s="25"/>
      <c r="Q24" s="24"/>
      <c r="S24" s="395"/>
      <c r="T24" s="619"/>
    </row>
    <row r="25" spans="1:20" ht="15" hidden="1">
      <c r="A25" s="32"/>
      <c r="B25" s="410"/>
      <c r="C25" s="410"/>
      <c r="D25" s="410"/>
      <c r="E25" s="410"/>
      <c r="F25" s="410"/>
      <c r="G25" s="410"/>
      <c r="H25" s="410"/>
      <c r="I25" s="410"/>
      <c r="K25" s="396"/>
      <c r="S25" s="395"/>
      <c r="T25" s="619"/>
    </row>
    <row r="26" spans="1:20" ht="15" hidden="1">
      <c r="A26" s="582" t="s">
        <v>589</v>
      </c>
      <c r="B26" s="410"/>
      <c r="C26" s="410"/>
      <c r="D26" s="410"/>
      <c r="E26" s="410"/>
      <c r="F26" s="410"/>
      <c r="G26" s="410"/>
      <c r="H26" s="410"/>
      <c r="I26" s="410"/>
      <c r="K26" s="396"/>
      <c r="L26" s="22"/>
      <c r="M26" s="28"/>
      <c r="N26" s="28"/>
      <c r="O26" s="24"/>
      <c r="P26" s="25"/>
      <c r="S26" s="395"/>
      <c r="T26" s="619"/>
    </row>
    <row r="27" spans="1:20" ht="6.75" customHeight="1">
      <c r="A27" s="32"/>
      <c r="B27" s="410"/>
      <c r="C27" s="410"/>
      <c r="D27" s="410"/>
      <c r="E27" s="410"/>
      <c r="F27" s="410"/>
      <c r="G27" s="410"/>
      <c r="H27" s="410"/>
      <c r="I27" s="410"/>
      <c r="J27" s="30"/>
      <c r="K27" s="396"/>
      <c r="L27" s="22"/>
      <c r="M27" s="28"/>
      <c r="N27" s="28"/>
      <c r="O27" s="24"/>
      <c r="P27" s="25"/>
      <c r="S27" s="395"/>
      <c r="T27" s="619"/>
    </row>
    <row r="28" spans="1:20" ht="20.25" customHeight="1">
      <c r="A28" s="698" t="s">
        <v>9</v>
      </c>
      <c r="B28" s="699"/>
      <c r="C28" s="699"/>
      <c r="D28" s="699"/>
      <c r="E28" s="699"/>
      <c r="F28" s="699"/>
      <c r="G28" s="699"/>
      <c r="H28" s="699"/>
      <c r="I28" s="699"/>
      <c r="J28" s="35"/>
      <c r="K28" s="36"/>
      <c r="L28" s="17"/>
      <c r="M28" s="34"/>
      <c r="N28" s="14"/>
      <c r="S28" s="395"/>
      <c r="T28" s="619"/>
    </row>
    <row r="29" spans="1:20" ht="12.75">
      <c r="A29" s="29"/>
      <c r="B29" s="14"/>
      <c r="C29" s="14"/>
      <c r="D29" s="14"/>
      <c r="E29" s="14"/>
      <c r="F29" s="14"/>
      <c r="G29" s="14"/>
      <c r="H29" s="14"/>
      <c r="I29" s="14"/>
      <c r="J29" s="30"/>
      <c r="K29" s="27"/>
      <c r="L29" s="2" t="s">
        <v>368</v>
      </c>
      <c r="S29" s="395"/>
      <c r="T29" s="619"/>
    </row>
    <row r="30" spans="1:20" ht="15">
      <c r="A30" s="649" t="s">
        <v>10</v>
      </c>
      <c r="B30" s="671"/>
      <c r="C30" s="672"/>
      <c r="D30" s="672"/>
      <c r="E30" s="672"/>
      <c r="F30" s="672"/>
      <c r="G30" s="672"/>
      <c r="H30" s="672"/>
      <c r="I30" s="672"/>
      <c r="J30" s="30"/>
      <c r="K30" s="27"/>
      <c r="L30" s="346">
        <f>CLEAN(TRIM(C30))</f>
      </c>
      <c r="N30" s="4">
        <f>IF(M30="","",LEFT(M30,(FIND(" ",M30)+1))&amp;"."&amp;MID(M30,FIND(" ",M30,FIND(" ",M30)+1)+1,1)&amp;".")</f>
      </c>
      <c r="P30" s="38"/>
      <c r="S30" s="395"/>
      <c r="T30" s="619"/>
    </row>
    <row r="31" spans="1:20" ht="4.5" customHeight="1">
      <c r="A31" s="39"/>
      <c r="B31" s="40"/>
      <c r="C31" s="41"/>
      <c r="D31" s="41"/>
      <c r="E31" s="41"/>
      <c r="F31" s="41"/>
      <c r="G31" s="41"/>
      <c r="H31" s="41"/>
      <c r="I31" s="41"/>
      <c r="J31" s="30"/>
      <c r="K31" s="27"/>
      <c r="S31" s="395"/>
      <c r="T31" s="619"/>
    </row>
    <row r="32" spans="1:20" ht="15">
      <c r="A32" s="649" t="s">
        <v>11</v>
      </c>
      <c r="B32" s="650"/>
      <c r="C32" s="677" t="s">
        <v>369</v>
      </c>
      <c r="D32" s="677"/>
      <c r="E32" s="677"/>
      <c r="G32" s="689" t="s">
        <v>62</v>
      </c>
      <c r="H32" s="689"/>
      <c r="I32" s="689"/>
      <c r="J32" s="30"/>
      <c r="L32" s="346" t="str">
        <f>IF(AND(МуницОбр_ОС="",C32&lt;&gt;E4),C32&amp;" "&amp;E4,C32&amp;" "&amp;МуницОбр_ОС)</f>
        <v>городской округ Балашиха</v>
      </c>
      <c r="M32" s="5"/>
      <c r="N32" s="5"/>
      <c r="S32" s="395"/>
      <c r="T32" s="619"/>
    </row>
    <row r="33" spans="1:20" ht="5.25" customHeight="1">
      <c r="A33" s="39"/>
      <c r="B33" s="40"/>
      <c r="C33" s="41"/>
      <c r="D33" s="41"/>
      <c r="E33" s="41"/>
      <c r="F33" s="41"/>
      <c r="G33" s="41"/>
      <c r="H33" s="41"/>
      <c r="I33" s="41"/>
      <c r="J33" s="30"/>
      <c r="K33" s="27"/>
      <c r="S33" s="395"/>
      <c r="T33" s="619"/>
    </row>
    <row r="34" spans="1:20" ht="15">
      <c r="A34" s="39" t="s">
        <v>12</v>
      </c>
      <c r="B34" s="689"/>
      <c r="C34" s="689"/>
      <c r="D34" s="689"/>
      <c r="E34" s="689"/>
      <c r="F34" s="689"/>
      <c r="G34" s="689"/>
      <c r="H34" s="689"/>
      <c r="I34" s="689"/>
      <c r="J34" s="30"/>
      <c r="K34" s="38">
        <f>LEN(B34)</f>
        <v>0</v>
      </c>
      <c r="L34" s="3">
        <f>TRIM(B34)</f>
      </c>
      <c r="O34" s="42"/>
      <c r="P34" s="8"/>
      <c r="S34" s="395"/>
      <c r="T34" s="619"/>
    </row>
    <row r="35" spans="1:20" ht="15">
      <c r="A35" s="39"/>
      <c r="B35" s="675"/>
      <c r="C35" s="675"/>
      <c r="D35" s="675"/>
      <c r="E35" s="675"/>
      <c r="F35" s="675"/>
      <c r="G35" s="675"/>
      <c r="H35" s="675"/>
      <c r="I35" s="675"/>
      <c r="J35" s="30"/>
      <c r="K35" s="38">
        <f>LEN(B35)</f>
        <v>0</v>
      </c>
      <c r="L35" s="3">
        <f>TRIM(B35)</f>
      </c>
      <c r="P35" s="8"/>
      <c r="S35" s="395"/>
      <c r="T35" s="619"/>
    </row>
    <row r="36" spans="1:20" ht="15" customHeight="1">
      <c r="A36" s="39"/>
      <c r="B36" s="675"/>
      <c r="C36" s="675"/>
      <c r="D36" s="675"/>
      <c r="E36" s="675"/>
      <c r="F36" s="675"/>
      <c r="G36" s="675"/>
      <c r="H36" s="675"/>
      <c r="I36" s="675"/>
      <c r="J36" s="30"/>
      <c r="K36" s="38">
        <f>LEN(B36)</f>
        <v>0</v>
      </c>
      <c r="L36" s="3">
        <f>TRIM(B36)</f>
      </c>
      <c r="O36" s="42"/>
      <c r="P36" s="8"/>
      <c r="S36" s="395"/>
      <c r="T36" s="619"/>
    </row>
    <row r="37" spans="1:20" ht="3.75" customHeight="1">
      <c r="A37" s="39"/>
      <c r="B37" s="275"/>
      <c r="C37" s="275"/>
      <c r="D37" s="275"/>
      <c r="E37" s="275"/>
      <c r="F37" s="275"/>
      <c r="G37" s="275"/>
      <c r="H37" s="275"/>
      <c r="I37" s="275"/>
      <c r="J37" s="30"/>
      <c r="K37" s="38"/>
      <c r="L37" s="3"/>
      <c r="O37" s="42"/>
      <c r="P37" s="8"/>
      <c r="S37" s="395"/>
      <c r="T37" s="619"/>
    </row>
    <row r="38" spans="1:20" ht="15">
      <c r="A38" s="39" t="s">
        <v>13</v>
      </c>
      <c r="B38" s="700" t="s">
        <v>119</v>
      </c>
      <c r="C38" s="700"/>
      <c r="D38" s="700"/>
      <c r="E38" s="700"/>
      <c r="F38" s="700"/>
      <c r="G38" s="700"/>
      <c r="H38" s="700"/>
      <c r="I38" s="691"/>
      <c r="J38" s="692"/>
      <c r="K38" s="27"/>
      <c r="L38" s="5" t="str">
        <f>LOWER(TRIM(B38))</f>
        <v>воспитатель</v>
      </c>
      <c r="M38" s="38">
        <f>LEN(L39)</f>
        <v>22</v>
      </c>
      <c r="O38" s="42"/>
      <c r="P38" s="8"/>
      <c r="S38" s="395"/>
      <c r="T38" s="619"/>
    </row>
    <row r="39" spans="1:20" ht="15">
      <c r="A39" s="39" t="str">
        <f>K39</f>
        <v>Специализация</v>
      </c>
      <c r="B39" s="701" t="s">
        <v>533</v>
      </c>
      <c r="C39" s="701"/>
      <c r="D39" s="701"/>
      <c r="E39" s="701"/>
      <c r="F39" s="701"/>
      <c r="G39" s="701"/>
      <c r="H39" s="701"/>
      <c r="I39" s="673"/>
      <c r="J39" s="674"/>
      <c r="K39" s="79" t="str">
        <f>ЭЗ!AC35</f>
        <v>Специализация</v>
      </c>
      <c r="L39" s="3" t="str">
        <f>TRIM(B39)</f>
        <v>дошкольное образование</v>
      </c>
      <c r="M39" s="38">
        <f>IF(B38="",0,1)</f>
        <v>1</v>
      </c>
      <c r="S39" s="395"/>
      <c r="T39" s="619"/>
    </row>
    <row r="40" spans="1:20" ht="18.75" customHeight="1">
      <c r="A40" s="29"/>
      <c r="B40" s="702" t="str">
        <f>IF(A39=".","","укажите специализацию пед.работника в именительном падеже ")</f>
        <v>укажите специализацию пед.работника в именительном падеже </v>
      </c>
      <c r="C40" s="702"/>
      <c r="D40" s="702"/>
      <c r="E40" s="702"/>
      <c r="F40" s="702"/>
      <c r="G40" s="702"/>
      <c r="H40" s="702"/>
      <c r="I40" s="14"/>
      <c r="J40" s="30"/>
      <c r="K40" s="27"/>
      <c r="L40" s="5"/>
      <c r="S40" s="395"/>
      <c r="T40" s="619"/>
    </row>
    <row r="41" spans="1:20" ht="15" hidden="1">
      <c r="A41" s="39"/>
      <c r="B41" s="40"/>
      <c r="C41" s="14"/>
      <c r="D41" s="14"/>
      <c r="E41" s="14"/>
      <c r="F41" s="14"/>
      <c r="G41" s="14"/>
      <c r="H41" s="14"/>
      <c r="I41" s="14"/>
      <c r="J41" s="30"/>
      <c r="K41" s="27"/>
      <c r="L41" s="43"/>
      <c r="S41" s="395"/>
      <c r="T41" s="619"/>
    </row>
    <row r="42" spans="1:20" ht="15" hidden="1">
      <c r="A42" s="44"/>
      <c r="B42" s="45"/>
      <c r="C42" s="676"/>
      <c r="D42" s="676"/>
      <c r="E42" s="676"/>
      <c r="F42" s="676"/>
      <c r="G42" s="676"/>
      <c r="H42" s="676"/>
      <c r="I42" s="676"/>
      <c r="J42" s="30"/>
      <c r="K42" s="27"/>
      <c r="L42" s="43"/>
      <c r="S42" s="395"/>
      <c r="T42" s="619"/>
    </row>
    <row r="43" spans="1:20" ht="4.5" customHeight="1">
      <c r="A43" s="46"/>
      <c r="B43" s="47"/>
      <c r="C43" s="48"/>
      <c r="D43" s="49"/>
      <c r="E43" s="48"/>
      <c r="F43" s="50"/>
      <c r="G43" s="50"/>
      <c r="H43" s="50"/>
      <c r="I43" s="50"/>
      <c r="J43" s="30"/>
      <c r="K43" s="27"/>
      <c r="L43" s="43"/>
      <c r="S43" s="395"/>
      <c r="T43" s="619"/>
    </row>
    <row r="44" spans="1:20" ht="15">
      <c r="A44" s="669" t="s">
        <v>15</v>
      </c>
      <c r="B44" s="670"/>
      <c r="C44" s="670"/>
      <c r="D44" s="51"/>
      <c r="E44" s="52" t="str">
        <f>L44</f>
        <v>лет</v>
      </c>
      <c r="F44" s="52"/>
      <c r="G44" s="52"/>
      <c r="H44" s="52"/>
      <c r="I44" s="52"/>
      <c r="J44" s="53"/>
      <c r="K44" s="201">
        <f>IF(стаж_ОС&lt;16,стаж_ОС,MOD(стаж_ОС,10))</f>
        <v>0</v>
      </c>
      <c r="L44" s="2" t="str">
        <f>IF(K44=1,"год",IF(AND(K44&gt;1,K44&lt;5),"года","лет"))</f>
        <v>лет</v>
      </c>
      <c r="M44" s="54"/>
      <c r="S44" s="395"/>
      <c r="T44" s="619"/>
    </row>
    <row r="45" spans="1:20" ht="6.75" customHeight="1">
      <c r="A45" s="60"/>
      <c r="B45" s="61"/>
      <c r="C45" s="61"/>
      <c r="D45" s="61"/>
      <c r="E45" s="61"/>
      <c r="F45" s="61"/>
      <c r="G45" s="52"/>
      <c r="H45" s="52"/>
      <c r="I45" s="52"/>
      <c r="J45" s="359"/>
      <c r="K45" s="201"/>
      <c r="M45" s="54"/>
      <c r="S45" s="395"/>
      <c r="T45" s="619"/>
    </row>
    <row r="46" spans="1:20" ht="15">
      <c r="A46" s="669" t="s">
        <v>16</v>
      </c>
      <c r="B46" s="670"/>
      <c r="C46" s="670"/>
      <c r="D46" s="226" t="s">
        <v>26</v>
      </c>
      <c r="E46" s="467">
        <f>IF(AND(катег_ОС="нет",датаПрисв&lt;&gt;0),"Внимание!_НЕТ_","")</f>
      </c>
      <c r="F46" s="185">
        <f>IF(катег_ОС="нет","","дата присвоения")</f>
      </c>
      <c r="G46" s="203"/>
      <c r="H46" s="203"/>
      <c r="I46" s="402"/>
      <c r="K46" s="401">
        <f>IF(OR(катег_ОС="нет",датаПрисв=0),"",датаПрисв)</f>
      </c>
      <c r="L46" s="57" t="s">
        <v>18</v>
      </c>
      <c r="M46" s="58">
        <f ca="1">TODAY()-5*365-90</f>
        <v>43044</v>
      </c>
      <c r="N46" s="58">
        <f ca="1">TODAY()</f>
        <v>44959</v>
      </c>
      <c r="O46" s="59">
        <f>N46-5*365-40</f>
        <v>43094</v>
      </c>
      <c r="S46" s="395"/>
      <c r="T46" s="619"/>
    </row>
    <row r="47" spans="1:20" ht="4.5" customHeight="1">
      <c r="A47" s="60"/>
      <c r="B47" s="61"/>
      <c r="C47" s="61"/>
      <c r="D47" s="62"/>
      <c r="E47" s="40"/>
      <c r="F47" s="63"/>
      <c r="G47" s="63"/>
      <c r="H47" s="63"/>
      <c r="I47" s="63"/>
      <c r="J47" s="55"/>
      <c r="K47" s="56"/>
      <c r="L47" s="64"/>
      <c r="M47" s="228" t="s">
        <v>276</v>
      </c>
      <c r="N47" s="228" t="s">
        <v>277</v>
      </c>
      <c r="S47" s="395"/>
      <c r="T47" s="619"/>
    </row>
    <row r="48" spans="1:20" ht="15">
      <c r="A48" s="60" t="s">
        <v>19</v>
      </c>
      <c r="B48" s="61"/>
      <c r="C48" s="61"/>
      <c r="D48" s="225" t="s">
        <v>3</v>
      </c>
      <c r="E48" s="403">
        <f>IF(F48="","","примеч.")</f>
      </c>
      <c r="F48" s="690"/>
      <c r="G48" s="690"/>
      <c r="H48" s="690"/>
      <c r="I48" s="404"/>
      <c r="J48" s="405">
        <f>IF(E48="","",")")</f>
      </c>
      <c r="K48" s="66">
        <f>IF(I48&lt;&gt;"",F48,"")</f>
      </c>
      <c r="L48" s="67">
        <f>IF(I48&lt;&gt;"",I48,"")</f>
      </c>
      <c r="M48" s="68">
        <f>IF(I48&lt;&gt;"",J48,"")</f>
      </c>
      <c r="S48" s="395"/>
      <c r="T48" s="619"/>
    </row>
    <row r="49" spans="1:20" ht="15">
      <c r="A49" s="39"/>
      <c r="B49" s="40"/>
      <c r="C49" s="40"/>
      <c r="D49" s="40"/>
      <c r="E49" s="40"/>
      <c r="F49" s="40"/>
      <c r="G49" s="40"/>
      <c r="H49" s="40"/>
      <c r="I49" s="69"/>
      <c r="J49" s="30"/>
      <c r="L49" s="70"/>
      <c r="S49" s="395"/>
      <c r="T49" s="619"/>
    </row>
    <row r="50" spans="1:57" ht="15">
      <c r="A50" s="71" t="s">
        <v>20</v>
      </c>
      <c r="B50" s="700" t="s">
        <v>6</v>
      </c>
      <c r="C50" s="700"/>
      <c r="D50" s="700"/>
      <c r="E50" s="700"/>
      <c r="F50" s="40"/>
      <c r="G50" s="40"/>
      <c r="H50" s="40"/>
      <c r="I50" s="69"/>
      <c r="J50" s="30"/>
      <c r="K50" s="72" t="s">
        <v>6</v>
      </c>
      <c r="L50" s="72" t="s">
        <v>21</v>
      </c>
      <c r="M50" s="72" t="s">
        <v>22</v>
      </c>
      <c r="N50" s="72" t="s">
        <v>23</v>
      </c>
      <c r="O50" s="72" t="s">
        <v>24</v>
      </c>
      <c r="P50" s="72"/>
      <c r="Q50" s="72"/>
      <c r="R50" s="72"/>
      <c r="S50" s="395"/>
      <c r="T50" s="619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</row>
    <row r="51" spans="1:57" ht="3" customHeight="1">
      <c r="A51" s="29"/>
      <c r="B51" s="40"/>
      <c r="C51" s="40"/>
      <c r="D51" s="40"/>
      <c r="E51" s="40"/>
      <c r="F51" s="40"/>
      <c r="G51" s="40"/>
      <c r="H51" s="69"/>
      <c r="I51" s="69"/>
      <c r="J51" s="30"/>
      <c r="K51" s="74"/>
      <c r="L51" s="74"/>
      <c r="M51" s="74"/>
      <c r="N51" s="74"/>
      <c r="O51" s="74"/>
      <c r="P51" s="74"/>
      <c r="Q51" s="74"/>
      <c r="R51" s="74"/>
      <c r="S51" s="395"/>
      <c r="T51" s="619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</row>
    <row r="52" spans="1:57" ht="3" customHeight="1">
      <c r="A52" s="29"/>
      <c r="B52" s="40"/>
      <c r="C52" s="40"/>
      <c r="D52" s="40"/>
      <c r="E52" s="40"/>
      <c r="F52" s="40"/>
      <c r="G52" s="75"/>
      <c r="H52" s="75"/>
      <c r="I52" s="75"/>
      <c r="J52" s="30"/>
      <c r="K52" s="74"/>
      <c r="L52" s="74"/>
      <c r="M52" s="74"/>
      <c r="N52" s="74"/>
      <c r="O52" s="74"/>
      <c r="P52" s="74"/>
      <c r="Q52" s="74"/>
      <c r="R52" s="74"/>
      <c r="S52" s="395"/>
      <c r="T52" s="619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</row>
    <row r="53" spans="1:57" ht="12.75" customHeight="1">
      <c r="A53" s="721" t="str">
        <f>B50</f>
        <v> </v>
      </c>
      <c r="B53" s="634"/>
      <c r="C53" s="634"/>
      <c r="D53" s="634"/>
      <c r="E53" s="634"/>
      <c r="F53" s="634"/>
      <c r="G53" s="634"/>
      <c r="H53" s="634"/>
      <c r="I53" s="634"/>
      <c r="J53" s="635"/>
      <c r="K53" s="76">
        <f>LEN(B53)</f>
        <v>0</v>
      </c>
      <c r="L53" s="77">
        <f>TRIM(вуз_1&amp;IF(год_вуз_1=""," ",", "&amp;год_вуз_1&amp;"г."))&amp;IF(L57="","",";  ")</f>
      </c>
      <c r="M53" s="74"/>
      <c r="N53" s="74"/>
      <c r="O53" s="74"/>
      <c r="P53" s="74"/>
      <c r="Q53" s="74"/>
      <c r="R53" s="74"/>
      <c r="S53" s="395"/>
      <c r="T53" s="619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</row>
    <row r="54" spans="1:57" ht="18" customHeight="1">
      <c r="A54" s="722"/>
      <c r="B54" s="634"/>
      <c r="C54" s="634"/>
      <c r="D54" s="634"/>
      <c r="E54" s="634"/>
      <c r="F54" s="634"/>
      <c r="G54" s="634"/>
      <c r="H54" s="634"/>
      <c r="I54" s="634"/>
      <c r="J54" s="635"/>
      <c r="K54" s="5"/>
      <c r="L54" s="74"/>
      <c r="M54" s="74"/>
      <c r="N54" s="74"/>
      <c r="O54" s="74"/>
      <c r="P54" s="74"/>
      <c r="Q54" s="74"/>
      <c r="R54" s="74"/>
      <c r="S54" s="395"/>
      <c r="T54" s="619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</row>
    <row r="55" spans="1:57" ht="15">
      <c r="A55" s="29"/>
      <c r="B55" s="636" t="s">
        <v>25</v>
      </c>
      <c r="C55" s="636"/>
      <c r="D55" s="636"/>
      <c r="E55" s="78"/>
      <c r="F55" s="14"/>
      <c r="G55" s="14"/>
      <c r="H55" s="14"/>
      <c r="I55" s="14"/>
      <c r="J55" s="30"/>
      <c r="K55" s="79">
        <f>IF(B55="год окончания",год+2000,6)</f>
        <v>2023</v>
      </c>
      <c r="L55" s="74"/>
      <c r="M55" s="74"/>
      <c r="N55" s="74"/>
      <c r="O55" s="74"/>
      <c r="P55" s="74"/>
      <c r="Q55" s="74"/>
      <c r="R55" s="74"/>
      <c r="S55" s="395"/>
      <c r="T55" s="619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</row>
    <row r="56" spans="1:57" ht="3" customHeight="1">
      <c r="A56" s="29"/>
      <c r="B56" s="14"/>
      <c r="C56" s="14"/>
      <c r="D56" s="14"/>
      <c r="E56" s="14"/>
      <c r="F56" s="14"/>
      <c r="G56" s="14"/>
      <c r="H56" s="14"/>
      <c r="I56" s="14"/>
      <c r="J56" s="30"/>
      <c r="K56" s="5"/>
      <c r="L56" s="74"/>
      <c r="M56" s="74"/>
      <c r="N56" s="74"/>
      <c r="O56" s="74"/>
      <c r="P56" s="74"/>
      <c r="Q56" s="74"/>
      <c r="R56" s="74"/>
      <c r="S56" s="395"/>
      <c r="T56" s="619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</row>
    <row r="57" spans="1:57" ht="12.75" customHeight="1">
      <c r="A57" s="706"/>
      <c r="B57" s="634"/>
      <c r="C57" s="634"/>
      <c r="D57" s="634"/>
      <c r="E57" s="634"/>
      <c r="F57" s="634"/>
      <c r="G57" s="634"/>
      <c r="H57" s="634"/>
      <c r="I57" s="634"/>
      <c r="J57" s="635"/>
      <c r="K57" s="76">
        <f>LEN(B57)</f>
        <v>0</v>
      </c>
      <c r="L57" s="77">
        <f>TRIM(вуз_2&amp;IF(год_вуз_2="","",", "&amp;год_вуз_2&amp;"г."))&amp;IF(L61="","",";  ")</f>
      </c>
      <c r="N57" s="31"/>
      <c r="O57" s="31"/>
      <c r="P57" s="80"/>
      <c r="Q57" s="80"/>
      <c r="R57" s="80"/>
      <c r="S57" s="395"/>
      <c r="T57" s="619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</row>
    <row r="58" spans="1:57" ht="18" customHeight="1">
      <c r="A58" s="707"/>
      <c r="B58" s="634"/>
      <c r="C58" s="634"/>
      <c r="D58" s="634"/>
      <c r="E58" s="634"/>
      <c r="F58" s="634"/>
      <c r="G58" s="634"/>
      <c r="H58" s="634"/>
      <c r="I58" s="634"/>
      <c r="J58" s="635"/>
      <c r="K58" s="80"/>
      <c r="L58" s="80"/>
      <c r="M58" s="80"/>
      <c r="N58" s="80"/>
      <c r="O58" s="80"/>
      <c r="P58" s="80"/>
      <c r="Q58" s="80"/>
      <c r="R58" s="80"/>
      <c r="S58" s="395"/>
      <c r="T58" s="619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</row>
    <row r="59" spans="1:57" ht="15">
      <c r="A59" s="29"/>
      <c r="B59" s="636" t="s">
        <v>25</v>
      </c>
      <c r="C59" s="636"/>
      <c r="D59" s="636"/>
      <c r="E59" s="78"/>
      <c r="F59" s="14"/>
      <c r="G59" s="14"/>
      <c r="H59" s="14"/>
      <c r="I59" s="14"/>
      <c r="J59" s="30"/>
      <c r="K59" s="79">
        <f>IF(B59="год окончания",год+2000,6)</f>
        <v>2023</v>
      </c>
      <c r="L59" s="74"/>
      <c r="M59" s="74"/>
      <c r="N59" s="74"/>
      <c r="O59" s="74"/>
      <c r="P59" s="74"/>
      <c r="Q59" s="74"/>
      <c r="R59" s="74"/>
      <c r="S59" s="395"/>
      <c r="T59" s="619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</row>
    <row r="60" spans="1:57" ht="2.25" customHeight="1">
      <c r="A60" s="29"/>
      <c r="B60" s="14"/>
      <c r="C60" s="14"/>
      <c r="D60" s="14"/>
      <c r="E60" s="14"/>
      <c r="F60" s="14"/>
      <c r="G60" s="14"/>
      <c r="H60" s="14"/>
      <c r="I60" s="14"/>
      <c r="J60" s="30"/>
      <c r="K60" s="5"/>
      <c r="L60" s="74"/>
      <c r="M60" s="74"/>
      <c r="N60" s="74"/>
      <c r="O60" s="74"/>
      <c r="P60" s="74"/>
      <c r="Q60" s="74"/>
      <c r="R60" s="74"/>
      <c r="S60" s="395"/>
      <c r="T60" s="619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</row>
    <row r="61" spans="1:57" ht="12.75" customHeight="1">
      <c r="A61" s="706"/>
      <c r="B61" s="634"/>
      <c r="C61" s="634"/>
      <c r="D61" s="634"/>
      <c r="E61" s="634"/>
      <c r="F61" s="634"/>
      <c r="G61" s="634"/>
      <c r="H61" s="634"/>
      <c r="I61" s="634"/>
      <c r="J61" s="635"/>
      <c r="K61" s="76">
        <f>LEN(B61)</f>
        <v>0</v>
      </c>
      <c r="L61" s="77">
        <f>TRIM(вуз_3&amp;IF(год_вуз_3="","",", "&amp;год_вуз_3&amp;"г."))</f>
      </c>
      <c r="M61" s="74"/>
      <c r="N61" s="74"/>
      <c r="O61" s="74"/>
      <c r="P61" s="74"/>
      <c r="Q61" s="74"/>
      <c r="R61" s="74"/>
      <c r="S61" s="395"/>
      <c r="T61" s="619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</row>
    <row r="62" spans="1:57" ht="18" customHeight="1">
      <c r="A62" s="707"/>
      <c r="B62" s="634"/>
      <c r="C62" s="634"/>
      <c r="D62" s="634"/>
      <c r="E62" s="634"/>
      <c r="F62" s="634"/>
      <c r="G62" s="634"/>
      <c r="H62" s="634"/>
      <c r="I62" s="634"/>
      <c r="J62" s="635"/>
      <c r="K62" s="5"/>
      <c r="L62" s="74"/>
      <c r="M62" s="74"/>
      <c r="N62" s="74"/>
      <c r="O62" s="74"/>
      <c r="P62" s="74"/>
      <c r="Q62" s="74"/>
      <c r="R62" s="74"/>
      <c r="S62" s="395"/>
      <c r="T62" s="619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</row>
    <row r="63" spans="1:57" ht="15">
      <c r="A63" s="29"/>
      <c r="B63" s="636" t="s">
        <v>25</v>
      </c>
      <c r="C63" s="636"/>
      <c r="D63" s="636"/>
      <c r="E63" s="78"/>
      <c r="F63" s="14"/>
      <c r="G63" s="14"/>
      <c r="H63" s="14"/>
      <c r="I63" s="14"/>
      <c r="J63" s="30"/>
      <c r="K63" s="79">
        <f>IF(B63="год окончания",год+2000,6)</f>
        <v>2023</v>
      </c>
      <c r="L63" s="81"/>
      <c r="M63" s="74"/>
      <c r="N63" s="74"/>
      <c r="O63" s="74"/>
      <c r="P63" s="74"/>
      <c r="Q63" s="74"/>
      <c r="R63" s="74"/>
      <c r="S63" s="395"/>
      <c r="T63" s="619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</row>
    <row r="64" spans="1:57" ht="2.25" customHeight="1">
      <c r="A64" s="29"/>
      <c r="B64" s="14"/>
      <c r="C64" s="14"/>
      <c r="D64" s="14"/>
      <c r="E64" s="14"/>
      <c r="F64" s="14"/>
      <c r="G64" s="14"/>
      <c r="H64" s="14"/>
      <c r="I64" s="14"/>
      <c r="J64" s="30"/>
      <c r="K64" s="5"/>
      <c r="L64" s="74"/>
      <c r="M64" s="74"/>
      <c r="N64" s="74"/>
      <c r="O64" s="74"/>
      <c r="P64" s="74"/>
      <c r="Q64" s="74"/>
      <c r="R64" s="74"/>
      <c r="S64" s="395"/>
      <c r="T64" s="619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</row>
    <row r="65" spans="1:20" ht="3" customHeight="1">
      <c r="A65" s="29"/>
      <c r="B65" s="14"/>
      <c r="C65" s="14"/>
      <c r="D65" s="14"/>
      <c r="E65" s="14"/>
      <c r="F65" s="14"/>
      <c r="G65" s="14"/>
      <c r="H65" s="14"/>
      <c r="I65" s="14"/>
      <c r="J65" s="30"/>
      <c r="K65" s="27"/>
      <c r="S65" s="395"/>
      <c r="T65" s="619"/>
    </row>
    <row r="66" spans="1:20" ht="33" customHeight="1">
      <c r="A66" s="719" t="s">
        <v>406</v>
      </c>
      <c r="B66" s="720"/>
      <c r="C66" s="720"/>
      <c r="D66" s="720"/>
      <c r="E66" s="720"/>
      <c r="F66" s="720"/>
      <c r="G66" s="720"/>
      <c r="H66" s="720"/>
      <c r="I66" s="720"/>
      <c r="J66" s="35"/>
      <c r="K66" s="36"/>
      <c r="L66" s="337"/>
      <c r="M66" s="82"/>
      <c r="N66" s="82"/>
      <c r="O66" s="82"/>
      <c r="P66" s="82"/>
      <c r="Q66" s="82"/>
      <c r="R66" s="82"/>
      <c r="S66" s="395"/>
      <c r="T66" s="619"/>
    </row>
    <row r="67" spans="1:20" ht="2.25" customHeight="1">
      <c r="A67" s="83"/>
      <c r="B67" s="36"/>
      <c r="C67" s="36"/>
      <c r="D67" s="36"/>
      <c r="E67" s="36"/>
      <c r="F67" s="36"/>
      <c r="G67" s="36"/>
      <c r="H67" s="36"/>
      <c r="I67" s="36"/>
      <c r="J67" s="84"/>
      <c r="K67" s="36"/>
      <c r="L67" s="36"/>
      <c r="M67" s="2"/>
      <c r="N67" s="3"/>
      <c r="O67" s="82"/>
      <c r="P67" s="82"/>
      <c r="Q67" s="82"/>
      <c r="R67" s="82"/>
      <c r="S67" s="395"/>
      <c r="T67" s="619"/>
    </row>
    <row r="68" spans="1:57" ht="16.5" customHeight="1">
      <c r="A68" s="423" t="s">
        <v>588</v>
      </c>
      <c r="B68" s="14"/>
      <c r="C68" s="14"/>
      <c r="D68" s="85"/>
      <c r="E68" s="86"/>
      <c r="F68" s="87"/>
      <c r="G68" s="87"/>
      <c r="H68" s="87"/>
      <c r="I68" s="14"/>
      <c r="J68" s="30"/>
      <c r="L68" s="5"/>
      <c r="M68" s="80"/>
      <c r="N68" s="80"/>
      <c r="O68" s="80"/>
      <c r="P68" s="80"/>
      <c r="Q68" s="80"/>
      <c r="R68" s="80"/>
      <c r="S68" s="395"/>
      <c r="T68" s="619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</row>
    <row r="69" spans="1:57" ht="2.25" customHeight="1">
      <c r="A69" s="423"/>
      <c r="B69" s="14"/>
      <c r="C69" s="14"/>
      <c r="D69" s="85"/>
      <c r="E69" s="86"/>
      <c r="F69" s="87"/>
      <c r="G69" s="87"/>
      <c r="H69" s="87"/>
      <c r="I69" s="14"/>
      <c r="J69" s="30"/>
      <c r="L69" s="5"/>
      <c r="M69" s="80"/>
      <c r="N69" s="80"/>
      <c r="O69" s="80"/>
      <c r="P69" s="80"/>
      <c r="Q69" s="80"/>
      <c r="R69" s="80"/>
      <c r="S69" s="395"/>
      <c r="T69" s="619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</row>
    <row r="70" spans="1:57" ht="18.75" customHeight="1">
      <c r="A70" s="704" t="s">
        <v>26</v>
      </c>
      <c r="B70" s="705"/>
      <c r="C70" s="705"/>
      <c r="D70" s="88"/>
      <c r="E70" s="367" t="s">
        <v>25</v>
      </c>
      <c r="F70" s="14"/>
      <c r="G70" s="89"/>
      <c r="H70" s="52">
        <f>IF(A70="нет","",IF(L70=1,"курс","г."))</f>
      </c>
      <c r="I70" s="14"/>
      <c r="J70" s="502"/>
      <c r="K70" s="79">
        <f>IF(E70&lt;&gt;"год окончания",6,год+2000)</f>
        <v>2023</v>
      </c>
      <c r="L70" s="90">
        <f>IF(E70&lt;&gt;"год окончания",1,K70-6)</f>
        <v>2017</v>
      </c>
      <c r="M70" s="2">
        <f>IF(A70=N74,""," ("&amp;A70&amp;")")</f>
      </c>
      <c r="N70" s="5"/>
      <c r="S70" s="395"/>
      <c r="T70" s="619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</row>
    <row r="71" spans="1:57" ht="3.75" customHeight="1">
      <c r="A71" s="91"/>
      <c r="B71" s="88"/>
      <c r="C71" s="88"/>
      <c r="D71" s="88"/>
      <c r="E71" s="88"/>
      <c r="F71" s="88"/>
      <c r="G71" s="88"/>
      <c r="H71" s="88"/>
      <c r="I71" s="14"/>
      <c r="J71" s="502"/>
      <c r="K71" s="5"/>
      <c r="N71" s="5"/>
      <c r="S71" s="395"/>
      <c r="T71" s="619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</row>
    <row r="72" spans="1:57" ht="16.5" customHeight="1">
      <c r="A72" s="29"/>
      <c r="B72" s="634"/>
      <c r="C72" s="634"/>
      <c r="D72" s="634"/>
      <c r="E72" s="634"/>
      <c r="F72" s="634"/>
      <c r="G72" s="634"/>
      <c r="H72" s="634"/>
      <c r="I72" s="634"/>
      <c r="J72" s="635"/>
      <c r="K72" s="70">
        <f>LEN(L72)</f>
        <v>0</v>
      </c>
      <c r="L72" s="92">
        <f>IF(A70="нет","",TRIM(доп_по&amp;M72))</f>
      </c>
      <c r="M72" s="92">
        <f>IF(AND(E70="год окончания",год_доп_по&gt;=L70),", "&amp;год_доп_по&amp;H70,"")</f>
      </c>
      <c r="N72" s="80"/>
      <c r="O72" s="80"/>
      <c r="P72" s="80"/>
      <c r="Q72" s="80"/>
      <c r="R72" s="80"/>
      <c r="S72" s="395"/>
      <c r="T72" s="619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</row>
    <row r="73" spans="1:57" ht="16.5" customHeight="1">
      <c r="A73" s="29"/>
      <c r="B73" s="634"/>
      <c r="C73" s="634"/>
      <c r="D73" s="634"/>
      <c r="E73" s="634"/>
      <c r="F73" s="634"/>
      <c r="G73" s="634"/>
      <c r="H73" s="634"/>
      <c r="I73" s="634"/>
      <c r="J73" s="635"/>
      <c r="K73" s="93" t="s">
        <v>27</v>
      </c>
      <c r="L73" s="94" t="s">
        <v>28</v>
      </c>
      <c r="N73" s="95" t="s">
        <v>29</v>
      </c>
      <c r="O73" s="82"/>
      <c r="P73" s="82"/>
      <c r="R73" s="82"/>
      <c r="S73" s="395"/>
      <c r="T73" s="619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</row>
    <row r="74" spans="1:57" ht="12.75" customHeight="1">
      <c r="A74" s="29"/>
      <c r="B74" s="634"/>
      <c r="C74" s="634"/>
      <c r="D74" s="634"/>
      <c r="E74" s="634"/>
      <c r="F74" s="634"/>
      <c r="G74" s="634"/>
      <c r="H74" s="634"/>
      <c r="I74" s="634"/>
      <c r="J74" s="635"/>
      <c r="K74" s="96"/>
      <c r="L74" s="65" t="s">
        <v>30</v>
      </c>
      <c r="N74" s="94" t="s">
        <v>26</v>
      </c>
      <c r="O74" s="82"/>
      <c r="P74" s="82"/>
      <c r="R74" s="82"/>
      <c r="S74" s="395"/>
      <c r="T74" s="619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</row>
    <row r="75" spans="1:57" ht="14.25" customHeight="1">
      <c r="A75" s="97"/>
      <c r="B75" s="14"/>
      <c r="C75" s="14"/>
      <c r="D75" s="14"/>
      <c r="E75" s="14"/>
      <c r="F75" s="14"/>
      <c r="G75" s="98"/>
      <c r="H75" s="98"/>
      <c r="I75" s="98"/>
      <c r="J75" s="99"/>
      <c r="K75" s="100"/>
      <c r="L75" s="319" t="s">
        <v>31</v>
      </c>
      <c r="M75" s="38"/>
      <c r="N75" s="94" t="s">
        <v>33</v>
      </c>
      <c r="O75" s="82"/>
      <c r="P75" s="82"/>
      <c r="R75" s="82"/>
      <c r="S75" s="395"/>
      <c r="T75" s="619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</row>
    <row r="76" spans="1:20" ht="15">
      <c r="A76" s="101"/>
      <c r="B76" s="102"/>
      <c r="C76" s="102"/>
      <c r="D76" s="102"/>
      <c r="E76" s="102"/>
      <c r="F76" s="102"/>
      <c r="G76" s="103"/>
      <c r="H76" s="14"/>
      <c r="I76" s="104"/>
      <c r="J76" s="105"/>
      <c r="K76" s="96"/>
      <c r="L76" s="65" t="s">
        <v>32</v>
      </c>
      <c r="M76" s="38"/>
      <c r="N76" s="94" t="s">
        <v>24</v>
      </c>
      <c r="O76" s="82"/>
      <c r="P76" s="82"/>
      <c r="R76" s="82"/>
      <c r="S76" s="395"/>
      <c r="T76" s="619"/>
    </row>
    <row r="77" spans="1:20" ht="15">
      <c r="A77" s="709" t="s">
        <v>28</v>
      </c>
      <c r="B77" s="710"/>
      <c r="C77" s="710"/>
      <c r="D77" s="710"/>
      <c r="E77" s="710"/>
      <c r="F77" s="14"/>
      <c r="G77" s="106"/>
      <c r="H77" s="107" t="str">
        <f>IF(G77&gt;=16,"да","нет")</f>
        <v>нет</v>
      </c>
      <c r="I77" s="108" t="s">
        <v>34</v>
      </c>
      <c r="J77" s="30"/>
      <c r="L77" s="65" t="s">
        <v>35</v>
      </c>
      <c r="M77" s="38"/>
      <c r="O77" s="82"/>
      <c r="P77" s="82"/>
      <c r="R77" s="82"/>
      <c r="S77" s="395"/>
      <c r="T77" s="619"/>
    </row>
    <row r="78" spans="1:20" ht="6.75" customHeight="1">
      <c r="A78" s="109"/>
      <c r="B78" s="14"/>
      <c r="C78" s="14"/>
      <c r="D78" s="40"/>
      <c r="E78" s="40"/>
      <c r="F78" s="40"/>
      <c r="G78" s="14"/>
      <c r="H78" s="40"/>
      <c r="I78" s="40"/>
      <c r="J78" s="503"/>
      <c r="S78" s="395"/>
      <c r="T78" s="619"/>
    </row>
    <row r="79" spans="1:20" ht="15">
      <c r="A79" s="39" t="s">
        <v>36</v>
      </c>
      <c r="B79" s="40"/>
      <c r="C79" s="40"/>
      <c r="D79" s="40"/>
      <c r="E79" s="40"/>
      <c r="F79" s="14"/>
      <c r="G79" s="628" t="s">
        <v>26</v>
      </c>
      <c r="H79" s="628"/>
      <c r="I79" s="40"/>
      <c r="J79" s="503"/>
      <c r="S79" s="395"/>
      <c r="T79" s="619"/>
    </row>
    <row r="80" spans="1:20" ht="15" customHeight="1">
      <c r="A80" s="632" t="s">
        <v>37</v>
      </c>
      <c r="B80" s="633"/>
      <c r="C80" s="633"/>
      <c r="D80" s="633"/>
      <c r="E80" s="633"/>
      <c r="F80" s="633"/>
      <c r="G80" s="628" t="s">
        <v>26</v>
      </c>
      <c r="H80" s="628"/>
      <c r="I80" s="40"/>
      <c r="J80" s="503"/>
      <c r="S80" s="395"/>
      <c r="T80" s="619"/>
    </row>
    <row r="81" spans="1:20" ht="5.25" customHeight="1">
      <c r="A81" s="39"/>
      <c r="B81" s="40"/>
      <c r="C81" s="40"/>
      <c r="D81" s="40"/>
      <c r="E81" s="40"/>
      <c r="F81" s="14"/>
      <c r="G81" s="40"/>
      <c r="H81" s="40"/>
      <c r="I81" s="40"/>
      <c r="J81" s="503"/>
      <c r="S81" s="395"/>
      <c r="T81" s="619"/>
    </row>
    <row r="82" spans="1:20" ht="15">
      <c r="A82" s="39" t="s">
        <v>38</v>
      </c>
      <c r="B82" s="40"/>
      <c r="C82" s="40"/>
      <c r="D82" s="40"/>
      <c r="E82" s="40"/>
      <c r="F82" s="14"/>
      <c r="G82" s="628" t="s">
        <v>26</v>
      </c>
      <c r="H82" s="628"/>
      <c r="I82" s="110"/>
      <c r="J82" s="111"/>
      <c r="M82" s="38"/>
      <c r="N82" s="3"/>
      <c r="O82" s="82"/>
      <c r="P82" s="82"/>
      <c r="Q82" s="82"/>
      <c r="R82" s="82"/>
      <c r="S82" s="395"/>
      <c r="T82" s="619"/>
    </row>
    <row r="83" spans="1:20" ht="15">
      <c r="A83" s="39" t="s">
        <v>39</v>
      </c>
      <c r="B83" s="40"/>
      <c r="C83" s="40"/>
      <c r="D83" s="40"/>
      <c r="E83" s="40"/>
      <c r="F83" s="14"/>
      <c r="G83" s="628" t="s">
        <v>26</v>
      </c>
      <c r="H83" s="628"/>
      <c r="I83" s="110" t="s">
        <v>40</v>
      </c>
      <c r="J83" s="112"/>
      <c r="M83" s="38"/>
      <c r="N83" s="113">
        <v>0</v>
      </c>
      <c r="O83" s="82"/>
      <c r="P83" s="82"/>
      <c r="Q83" s="82"/>
      <c r="R83" s="82"/>
      <c r="S83" s="395"/>
      <c r="T83" s="619"/>
    </row>
    <row r="84" spans="1:20" ht="15" hidden="1">
      <c r="A84" s="424"/>
      <c r="B84" s="504" t="s">
        <v>482</v>
      </c>
      <c r="C84" s="14"/>
      <c r="D84" s="505" t="s">
        <v>483</v>
      </c>
      <c r="E84" s="40"/>
      <c r="F84" s="40"/>
      <c r="G84" s="429" t="str">
        <f>ЭЗ!Y62</f>
        <v>нет</v>
      </c>
      <c r="H84" s="40"/>
      <c r="I84" s="506" t="s">
        <v>489</v>
      </c>
      <c r="J84" s="431"/>
      <c r="M84" s="38"/>
      <c r="N84" s="113"/>
      <c r="O84" s="82"/>
      <c r="P84" s="82"/>
      <c r="Q84" s="82"/>
      <c r="R84" s="82"/>
      <c r="S84" s="395"/>
      <c r="T84" s="619"/>
    </row>
    <row r="85" spans="1:20" ht="15" hidden="1">
      <c r="A85" s="424"/>
      <c r="B85" s="14"/>
      <c r="C85" s="14"/>
      <c r="D85" s="507" t="s">
        <v>484</v>
      </c>
      <c r="E85" s="63"/>
      <c r="F85" s="62"/>
      <c r="G85" s="429" t="str">
        <f>IF(AND(A70&lt;&gt;"нет",K72&lt;&gt;0),"да","нет")</f>
        <v>нет</v>
      </c>
      <c r="H85" s="14"/>
      <c r="I85" s="508" t="s">
        <v>490</v>
      </c>
      <c r="J85" s="431"/>
      <c r="M85" s="38"/>
      <c r="N85" s="113"/>
      <c r="O85" s="82"/>
      <c r="P85" s="82"/>
      <c r="Q85" s="82"/>
      <c r="R85" s="82"/>
      <c r="S85" s="395"/>
      <c r="T85" s="619"/>
    </row>
    <row r="86" spans="1:20" ht="25.5" hidden="1">
      <c r="A86" s="509"/>
      <c r="B86" s="14"/>
      <c r="C86" s="14"/>
      <c r="D86" s="510" t="s">
        <v>485</v>
      </c>
      <c r="E86" s="511"/>
      <c r="F86" s="85"/>
      <c r="G86" s="430" t="str">
        <f>IF(ЭЗ!Y391&gt;0,"да","нет")</f>
        <v>нет</v>
      </c>
      <c r="H86" s="397"/>
      <c r="I86" s="512" t="s">
        <v>462</v>
      </c>
      <c r="J86" s="432"/>
      <c r="K86" s="433" t="s">
        <v>491</v>
      </c>
      <c r="L86" s="434" t="s">
        <v>492</v>
      </c>
      <c r="M86" s="38"/>
      <c r="N86" s="13"/>
      <c r="O86" s="14"/>
      <c r="S86" s="395"/>
      <c r="T86" s="619"/>
    </row>
    <row r="87" spans="1:20" ht="18" hidden="1">
      <c r="A87" s="629" t="str">
        <f>IF(вывод1="да",_72ч,"")</f>
        <v>В течение одного года пройти обучение по программе повышения квалификации.</v>
      </c>
      <c r="B87" s="630"/>
      <c r="C87" s="630"/>
      <c r="D87" s="630"/>
      <c r="E87" s="630"/>
      <c r="F87" s="630"/>
      <c r="G87" s="630"/>
      <c r="H87" s="630"/>
      <c r="I87" s="630"/>
      <c r="J87" s="631"/>
      <c r="K87" s="501" t="str">
        <f>IF(COUNTIF(G77:H86,"да"),"нет","да")</f>
        <v>да</v>
      </c>
      <c r="L87" s="435" t="s">
        <v>493</v>
      </c>
      <c r="M87" s="38"/>
      <c r="N87" s="13"/>
      <c r="O87" s="14"/>
      <c r="S87" s="395"/>
      <c r="T87" s="619"/>
    </row>
    <row r="88" spans="1:20" ht="12.75" hidden="1">
      <c r="A88" s="629"/>
      <c r="B88" s="630"/>
      <c r="C88" s="630"/>
      <c r="D88" s="630"/>
      <c r="E88" s="630"/>
      <c r="F88" s="630"/>
      <c r="G88" s="630"/>
      <c r="H88" s="630"/>
      <c r="I88" s="630"/>
      <c r="J88" s="631"/>
      <c r="K88" s="116"/>
      <c r="M88" s="38"/>
      <c r="N88" s="13"/>
      <c r="O88" s="14"/>
      <c r="S88" s="395"/>
      <c r="T88" s="619"/>
    </row>
    <row r="89" spans="1:20" ht="6" customHeight="1">
      <c r="A89" s="513"/>
      <c r="B89" s="513"/>
      <c r="C89" s="513"/>
      <c r="D89" s="712"/>
      <c r="E89" s="712"/>
      <c r="F89" s="712"/>
      <c r="G89" s="712"/>
      <c r="H89" s="712"/>
      <c r="I89" s="712"/>
      <c r="J89" s="713"/>
      <c r="L89" s="5"/>
      <c r="M89" s="5"/>
      <c r="N89" s="117"/>
      <c r="O89" s="27"/>
      <c r="P89" s="70"/>
      <c r="Q89" s="70"/>
      <c r="R89" s="82"/>
      <c r="S89" s="395"/>
      <c r="T89" s="619"/>
    </row>
    <row r="90" spans="1:20" ht="20.25" customHeight="1">
      <c r="A90" s="708" t="s">
        <v>42</v>
      </c>
      <c r="B90" s="699"/>
      <c r="C90" s="699"/>
      <c r="D90" s="699"/>
      <c r="E90" s="699"/>
      <c r="F90" s="699"/>
      <c r="G90" s="699"/>
      <c r="H90" s="699"/>
      <c r="I90" s="699"/>
      <c r="J90" s="118"/>
      <c r="K90" s="119" t="s">
        <v>43</v>
      </c>
      <c r="M90" s="38"/>
      <c r="N90" s="117"/>
      <c r="O90" s="27"/>
      <c r="P90" s="70"/>
      <c r="Q90" s="70"/>
      <c r="R90" s="70"/>
      <c r="S90" s="395"/>
      <c r="T90" s="619"/>
    </row>
    <row r="91" spans="1:20" s="70" customFormat="1" ht="4.5" customHeight="1">
      <c r="A91" s="391"/>
      <c r="B91" s="392"/>
      <c r="C91" s="392"/>
      <c r="D91" s="392"/>
      <c r="E91" s="392"/>
      <c r="F91" s="392"/>
      <c r="G91" s="392"/>
      <c r="H91" s="392"/>
      <c r="I91" s="392"/>
      <c r="J91" s="393"/>
      <c r="K91" s="394"/>
      <c r="L91" s="127"/>
      <c r="M91" s="232"/>
      <c r="N91" s="117"/>
      <c r="O91" s="27"/>
      <c r="S91" s="395"/>
      <c r="T91" s="619"/>
    </row>
    <row r="92" spans="1:20" ht="15" customHeight="1">
      <c r="A92" s="632" t="str">
        <f>VLOOKUP($B$38,$K$172:$Q$188,2)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2" s="633"/>
      <c r="C92" s="633"/>
      <c r="D92" s="633"/>
      <c r="E92" s="633"/>
      <c r="F92" s="633"/>
      <c r="G92" s="633"/>
      <c r="H92" s="633"/>
      <c r="I92" s="14"/>
      <c r="J92" s="30"/>
      <c r="K92" s="120"/>
      <c r="N92" s="13"/>
      <c r="O92" s="14"/>
      <c r="S92" s="395"/>
      <c r="T92" s="619"/>
    </row>
    <row r="93" spans="1:20" ht="15.75">
      <c r="A93" s="632"/>
      <c r="B93" s="633"/>
      <c r="C93" s="633"/>
      <c r="D93" s="633"/>
      <c r="E93" s="633"/>
      <c r="F93" s="633"/>
      <c r="G93" s="633"/>
      <c r="H93" s="633"/>
      <c r="I93" s="33" t="s">
        <v>26</v>
      </c>
      <c r="J93" s="121" t="str">
        <f>IF(OR(G79="да",G80="да",G84="да"),"да",рек2)</f>
        <v>нет</v>
      </c>
      <c r="K93" s="115" t="s">
        <v>45</v>
      </c>
      <c r="M93" s="116"/>
      <c r="S93" s="395"/>
      <c r="T93" s="619"/>
    </row>
    <row r="94" spans="1:20" ht="21.75" customHeight="1">
      <c r="A94" s="632"/>
      <c r="B94" s="633"/>
      <c r="C94" s="633"/>
      <c r="D94" s="633"/>
      <c r="E94" s="633"/>
      <c r="F94" s="633"/>
      <c r="G94" s="633"/>
      <c r="H94" s="633"/>
      <c r="I94" s="122"/>
      <c r="J94" s="84"/>
      <c r="K94" s="116"/>
      <c r="S94" s="395"/>
      <c r="T94" s="619"/>
    </row>
    <row r="95" spans="1:20" ht="15" customHeight="1" hidden="1">
      <c r="A95" s="632" t="str">
        <f>VLOOKUP($B$38,$K$172:$Q$188,3)</f>
        <v> ---</v>
      </c>
      <c r="B95" s="633"/>
      <c r="C95" s="633"/>
      <c r="D95" s="633"/>
      <c r="E95" s="633"/>
      <c r="F95" s="633"/>
      <c r="G95" s="633"/>
      <c r="H95" s="633"/>
      <c r="I95" s="14"/>
      <c r="J95" s="30"/>
      <c r="K95" s="116"/>
      <c r="L95" s="476" t="s">
        <v>522</v>
      </c>
      <c r="S95" s="395"/>
      <c r="T95" s="619"/>
    </row>
    <row r="96" spans="1:20" ht="15" hidden="1">
      <c r="A96" s="632"/>
      <c r="B96" s="633"/>
      <c r="C96" s="633"/>
      <c r="D96" s="633"/>
      <c r="E96" s="633"/>
      <c r="F96" s="633"/>
      <c r="G96" s="633"/>
      <c r="H96" s="633"/>
      <c r="I96" s="33" t="s">
        <v>26</v>
      </c>
      <c r="J96" s="111"/>
      <c r="K96" s="115" t="s">
        <v>47</v>
      </c>
      <c r="L96" s="477" t="s">
        <v>524</v>
      </c>
      <c r="M96" s="3" t="s">
        <v>523</v>
      </c>
      <c r="N96" s="124" t="str">
        <f>IF(долж_ОС="учитель","учитель","преподаватель")</f>
        <v>преподаватель</v>
      </c>
      <c r="S96" s="395"/>
      <c r="T96" s="619"/>
    </row>
    <row r="97" spans="1:20" ht="18" hidden="1">
      <c r="A97" s="438" t="s">
        <v>41</v>
      </c>
      <c r="B97" s="437" t="s">
        <v>494</v>
      </c>
      <c r="C97" s="329"/>
      <c r="D97" s="329"/>
      <c r="E97" s="14"/>
      <c r="F97" s="436" t="str">
        <f>HLOOKUP(G97,$L$96:$S$97,2)</f>
        <v>да</v>
      </c>
      <c r="G97" s="449" t="s">
        <v>524</v>
      </c>
      <c r="I97" s="14"/>
      <c r="J97" s="30"/>
      <c r="K97" s="27"/>
      <c r="L97" s="447" t="str">
        <f>IF(AND(J93="нет",рек3="нет"),"да","нет")</f>
        <v>да</v>
      </c>
      <c r="M97" s="447" t="str">
        <f>IF(AND(I93="да",рек3="да"),"нет","да")</f>
        <v>да</v>
      </c>
      <c r="N97" s="447" t="str">
        <f>IF(AND(J93="нет",рек3="нет"),"да","нет")</f>
        <v>да</v>
      </c>
      <c r="S97" s="395"/>
      <c r="T97" s="619"/>
    </row>
    <row r="98" spans="1:20" ht="45" hidden="1">
      <c r="A98" s="629" t="str">
        <f>IF(F97="да",_дпо,"")</f>
        <v>Получить  дополнительное профессиональное образование по направлению подготовки "Образование и педагогика". </v>
      </c>
      <c r="B98" s="630"/>
      <c r="C98" s="630"/>
      <c r="D98" s="630"/>
      <c r="E98" s="630"/>
      <c r="F98" s="630"/>
      <c r="G98" s="630"/>
      <c r="H98" s="630"/>
      <c r="I98" s="630"/>
      <c r="J98" s="631"/>
      <c r="K98" s="115" t="s">
        <v>48</v>
      </c>
      <c r="L98" s="448" t="s">
        <v>509</v>
      </c>
      <c r="M98" s="448" t="s">
        <v>510</v>
      </c>
      <c r="N98" s="448" t="s">
        <v>509</v>
      </c>
      <c r="S98" s="395"/>
      <c r="T98" s="619"/>
    </row>
    <row r="99" spans="1:20" ht="12.75" hidden="1">
      <c r="A99" s="629">
        <f>IF(рек3="нет",_рек3,"")</f>
      </c>
      <c r="B99" s="630"/>
      <c r="C99" s="630"/>
      <c r="D99" s="630"/>
      <c r="E99" s="630"/>
      <c r="F99" s="630"/>
      <c r="G99" s="630"/>
      <c r="H99" s="630"/>
      <c r="I99" s="630"/>
      <c r="J99" s="631"/>
      <c r="K99" s="115" t="s">
        <v>49</v>
      </c>
      <c r="M99" s="123"/>
      <c r="S99" s="395"/>
      <c r="T99" s="619"/>
    </row>
    <row r="100" spans="1:20" ht="5.25" customHeight="1">
      <c r="A100" s="29"/>
      <c r="B100" s="116"/>
      <c r="C100" s="14"/>
      <c r="D100" s="14"/>
      <c r="E100" s="14"/>
      <c r="F100" s="124"/>
      <c r="G100" s="14"/>
      <c r="H100" s="14"/>
      <c r="I100" s="14"/>
      <c r="J100" s="30"/>
      <c r="K100" s="27"/>
      <c r="L100" s="116"/>
      <c r="M100" s="125"/>
      <c r="N100" s="13"/>
      <c r="O100" s="14"/>
      <c r="P100" s="14"/>
      <c r="Q100" s="14"/>
      <c r="R100" s="14"/>
      <c r="S100" s="395"/>
      <c r="T100" s="619"/>
    </row>
    <row r="101" spans="1:20" s="70" customFormat="1" ht="20.25" customHeight="1">
      <c r="A101" s="708" t="s">
        <v>607</v>
      </c>
      <c r="B101" s="723"/>
      <c r="C101" s="723"/>
      <c r="D101" s="723"/>
      <c r="E101" s="723"/>
      <c r="F101" s="723"/>
      <c r="G101" s="723"/>
      <c r="H101" s="723"/>
      <c r="I101" s="723"/>
      <c r="J101" s="724"/>
      <c r="M101" s="114"/>
      <c r="O101" s="27"/>
      <c r="S101" s="395"/>
      <c r="T101" s="619"/>
    </row>
    <row r="102" spans="1:20" ht="4.5" customHeight="1">
      <c r="A102" s="316"/>
      <c r="B102" s="316"/>
      <c r="C102" s="316"/>
      <c r="D102" s="316"/>
      <c r="E102" s="316"/>
      <c r="F102" s="316"/>
      <c r="G102" s="316"/>
      <c r="H102" s="316"/>
      <c r="I102" s="316"/>
      <c r="J102" s="514"/>
      <c r="L102" s="5"/>
      <c r="M102" s="5"/>
      <c r="N102" s="117"/>
      <c r="O102" s="27"/>
      <c r="P102" s="70"/>
      <c r="Q102" s="70"/>
      <c r="R102" s="82"/>
      <c r="S102" s="395"/>
      <c r="T102" s="619"/>
    </row>
    <row r="103" spans="1:20" ht="19.5" customHeight="1">
      <c r="A103" s="387" t="s">
        <v>606</v>
      </c>
      <c r="B103" s="316"/>
      <c r="C103" s="316"/>
      <c r="D103" s="316"/>
      <c r="E103" s="316"/>
      <c r="F103" s="316"/>
      <c r="G103" s="703" t="s">
        <v>26</v>
      </c>
      <c r="H103" s="703"/>
      <c r="J103" s="514"/>
      <c r="K103" s="5"/>
      <c r="L103" s="5"/>
      <c r="M103" s="278"/>
      <c r="N103" s="117"/>
      <c r="O103" s="27"/>
      <c r="P103" s="70"/>
      <c r="Q103" s="70"/>
      <c r="S103" s="395"/>
      <c r="T103" s="619"/>
    </row>
    <row r="104" spans="1:20" ht="12.75">
      <c r="A104" s="316"/>
      <c r="B104" s="316"/>
      <c r="C104" s="316"/>
      <c r="D104" s="329"/>
      <c r="E104" s="316">
        <f>IF(D103="да",#REF!,"")</f>
      </c>
      <c r="F104" s="316"/>
      <c r="G104" s="329"/>
      <c r="H104" s="329"/>
      <c r="I104" s="316"/>
      <c r="J104" s="514"/>
      <c r="L104" s="70"/>
      <c r="M104" s="232"/>
      <c r="N104" s="117"/>
      <c r="O104" s="27"/>
      <c r="P104" s="70"/>
      <c r="Q104" s="70"/>
      <c r="R104" s="70"/>
      <c r="S104" s="395"/>
      <c r="T104" s="619"/>
    </row>
    <row r="105" spans="1:20" ht="21.75" customHeight="1">
      <c r="A105" s="638" t="s">
        <v>50</v>
      </c>
      <c r="B105" s="639"/>
      <c r="C105" s="639"/>
      <c r="D105" s="639"/>
      <c r="E105" s="639"/>
      <c r="F105" s="639"/>
      <c r="G105" s="639"/>
      <c r="H105" s="639"/>
      <c r="I105" s="639"/>
      <c r="J105" s="35"/>
      <c r="K105" s="36"/>
      <c r="L105" s="116"/>
      <c r="M105" s="12"/>
      <c r="N105" s="13"/>
      <c r="O105" s="14"/>
      <c r="P105" s="14"/>
      <c r="Q105" s="14"/>
      <c r="R105" s="14"/>
      <c r="S105" s="395"/>
      <c r="T105" s="619"/>
    </row>
    <row r="106" spans="1:256" ht="3.75" customHeight="1">
      <c r="A106" s="126"/>
      <c r="B106" s="36"/>
      <c r="C106" s="36"/>
      <c r="D106" s="36"/>
      <c r="E106" s="36"/>
      <c r="F106" s="36"/>
      <c r="G106" s="36"/>
      <c r="H106" s="36"/>
      <c r="I106" s="36"/>
      <c r="J106" s="84"/>
      <c r="K106" s="36"/>
      <c r="L106" s="127"/>
      <c r="M106" s="128"/>
      <c r="N106" s="129"/>
      <c r="O106" s="70"/>
      <c r="P106" s="70"/>
      <c r="Q106" s="70"/>
      <c r="R106" s="27"/>
      <c r="S106" s="395"/>
      <c r="T106" s="619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</row>
    <row r="107" spans="1:256" ht="15">
      <c r="A107" s="130" t="s">
        <v>51</v>
      </c>
      <c r="B107" s="36"/>
      <c r="C107" s="36"/>
      <c r="D107" s="36"/>
      <c r="E107" s="36"/>
      <c r="F107" s="552">
        <v>1</v>
      </c>
      <c r="G107" s="36"/>
      <c r="H107" s="36"/>
      <c r="I107" s="36"/>
      <c r="J107" s="84"/>
      <c r="K107" s="36"/>
      <c r="L107" s="127"/>
      <c r="M107" s="128"/>
      <c r="N107" s="129"/>
      <c r="O107" s="70"/>
      <c r="P107" s="70"/>
      <c r="Q107" s="70"/>
      <c r="R107" s="27"/>
      <c r="S107" s="395"/>
      <c r="T107" s="619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0" ht="3.75" customHeight="1">
      <c r="A108" s="131"/>
      <c r="B108" s="82"/>
      <c r="C108" s="82"/>
      <c r="D108" s="82"/>
      <c r="E108" s="82"/>
      <c r="F108" s="82"/>
      <c r="G108" s="82"/>
      <c r="H108" s="82"/>
      <c r="I108" s="82"/>
      <c r="J108" s="132"/>
      <c r="K108" s="133"/>
      <c r="R108" s="14"/>
      <c r="S108" s="395"/>
      <c r="T108" s="619"/>
    </row>
    <row r="109" spans="1:20" ht="15">
      <c r="A109" s="134" t="s">
        <v>52</v>
      </c>
      <c r="B109" s="82"/>
      <c r="C109" s="640"/>
      <c r="D109" s="640"/>
      <c r="E109" s="640"/>
      <c r="F109" s="640"/>
      <c r="G109" s="640"/>
      <c r="H109" s="640"/>
      <c r="I109" s="640"/>
      <c r="J109" s="135"/>
      <c r="K109" s="136"/>
      <c r="L109" s="37">
        <f>IF(LEN(M109)&gt;40,N109,M109)</f>
      </c>
      <c r="M109" s="3">
        <f>PROPER(TRIM(C109))</f>
      </c>
      <c r="N109" s="4">
        <f>IF(M109="","",LEFT(M109,(FIND(" ",M109)+1))&amp;"."&amp;MID(M109,FIND(" ",M109,FIND(" ",M109)+1)+1,1)&amp;".")</f>
      </c>
      <c r="R109" s="14"/>
      <c r="S109" s="395"/>
      <c r="T109" s="619"/>
    </row>
    <row r="110" spans="1:20" ht="18">
      <c r="A110" s="641" t="s">
        <v>53</v>
      </c>
      <c r="B110" s="82"/>
      <c r="C110" s="642" t="s">
        <v>54</v>
      </c>
      <c r="D110" s="642"/>
      <c r="E110" s="642"/>
      <c r="F110" s="642"/>
      <c r="G110" s="642"/>
      <c r="H110" s="642"/>
      <c r="I110" s="137"/>
      <c r="J110" s="138"/>
      <c r="K110" s="139"/>
      <c r="L110" s="37"/>
      <c r="R110" s="14"/>
      <c r="S110" s="395"/>
      <c r="T110" s="619"/>
    </row>
    <row r="111" spans="1:20" ht="15.75" customHeight="1">
      <c r="A111" s="641"/>
      <c r="B111" s="140" t="s">
        <v>55</v>
      </c>
      <c r="C111" s="640"/>
      <c r="D111" s="640"/>
      <c r="E111" s="640"/>
      <c r="F111" s="640"/>
      <c r="G111" s="640"/>
      <c r="H111" s="640"/>
      <c r="I111" s="640"/>
      <c r="J111" s="135"/>
      <c r="K111" s="136"/>
      <c r="L111" s="37">
        <f>IF(LEN(M111)&gt;40,N111,M111)</f>
      </c>
      <c r="M111" s="3">
        <f>PROPER(TRIM(C111))</f>
      </c>
      <c r="N111" s="4">
        <f>IF(M111="","",LEFT(M111,(FIND(" ",M111)+1))&amp;"."&amp;MID(M111,FIND(" ",M111,FIND(" ",M111)+1)+1,1)&amp;".")</f>
      </c>
      <c r="R111" s="14"/>
      <c r="S111" s="395"/>
      <c r="T111" s="619"/>
    </row>
    <row r="112" spans="1:20" ht="18">
      <c r="A112" s="141"/>
      <c r="B112" s="140"/>
      <c r="C112" s="642" t="s">
        <v>54</v>
      </c>
      <c r="D112" s="642"/>
      <c r="E112" s="642"/>
      <c r="F112" s="642"/>
      <c r="G112" s="642"/>
      <c r="H112" s="642"/>
      <c r="I112" s="137"/>
      <c r="J112" s="138"/>
      <c r="K112" s="139"/>
      <c r="R112" s="14"/>
      <c r="S112" s="395"/>
      <c r="T112" s="619"/>
    </row>
    <row r="113" spans="1:20" ht="12.75" customHeight="1">
      <c r="A113" s="141"/>
      <c r="B113" s="140">
        <f>IF($F$107&gt;1,"2)","")</f>
      </c>
      <c r="C113" s="640"/>
      <c r="D113" s="640"/>
      <c r="E113" s="640"/>
      <c r="F113" s="640"/>
      <c r="G113" s="640"/>
      <c r="H113" s="640"/>
      <c r="I113" s="640"/>
      <c r="J113" s="135"/>
      <c r="K113" s="136"/>
      <c r="L113" s="37">
        <f>IF(LEN(M113)&gt;40,N113,M113)</f>
      </c>
      <c r="M113" s="3">
        <f>PROPER(TRIM(C113))</f>
      </c>
      <c r="N113" s="4">
        <f>IF(M113="","",LEFT(M113,(FIND(" ",M113)+1))&amp;"."&amp;MID(M113,FIND(" ",M113,FIND(" ",M113)+1)+1,1)&amp;".")</f>
      </c>
      <c r="R113" s="14"/>
      <c r="S113" s="395"/>
      <c r="T113" s="619"/>
    </row>
    <row r="114" spans="1:20" ht="18">
      <c r="A114" s="141"/>
      <c r="B114" s="140"/>
      <c r="C114" s="642" t="s">
        <v>54</v>
      </c>
      <c r="D114" s="642"/>
      <c r="E114" s="642"/>
      <c r="F114" s="642"/>
      <c r="G114" s="642"/>
      <c r="H114" s="642"/>
      <c r="I114" s="137"/>
      <c r="J114" s="138"/>
      <c r="K114" s="139"/>
      <c r="R114" s="14"/>
      <c r="S114" s="395"/>
      <c r="T114" s="619"/>
    </row>
    <row r="115" spans="1:20" ht="15.75" customHeight="1" hidden="1">
      <c r="A115" s="142"/>
      <c r="B115" s="140">
        <f>IF($F$107&gt;2,"3)","")</f>
      </c>
      <c r="C115" s="672"/>
      <c r="D115" s="672"/>
      <c r="E115" s="672"/>
      <c r="F115" s="672"/>
      <c r="G115" s="672"/>
      <c r="H115" s="672"/>
      <c r="I115" s="672"/>
      <c r="J115" s="135"/>
      <c r="K115" s="136"/>
      <c r="L115" s="37">
        <f>IF(LEN(M115)&gt;40,N115,M115)</f>
      </c>
      <c r="M115" s="3">
        <f>PROPER(TRIM(C115))</f>
      </c>
      <c r="N115" s="4">
        <f>IF(M115="","",LEFT(M115,(FIND(" ",M115)+1))&amp;"."&amp;MID(M115,FIND(" ",M115,FIND(" ",M115)+1)+1,1)&amp;".")</f>
      </c>
      <c r="R115" s="14"/>
      <c r="S115" s="395"/>
      <c r="T115" s="619"/>
    </row>
    <row r="116" spans="1:20" ht="15.75" customHeight="1" hidden="1">
      <c r="A116" s="142"/>
      <c r="B116" s="143"/>
      <c r="C116" s="717" t="s">
        <v>56</v>
      </c>
      <c r="D116" s="717"/>
      <c r="E116" s="717"/>
      <c r="F116" s="717"/>
      <c r="G116" s="717"/>
      <c r="H116" s="717"/>
      <c r="I116" s="137"/>
      <c r="J116" s="138"/>
      <c r="K116" s="139"/>
      <c r="R116" s="14"/>
      <c r="S116" s="395"/>
      <c r="T116" s="619"/>
    </row>
    <row r="117" spans="1:20" ht="4.5" customHeight="1">
      <c r="A117" s="29"/>
      <c r="B117" s="14"/>
      <c r="C117" s="14"/>
      <c r="D117" s="14"/>
      <c r="E117" s="14"/>
      <c r="F117" s="14"/>
      <c r="G117" s="14"/>
      <c r="H117" s="14"/>
      <c r="I117" s="14"/>
      <c r="J117" s="144"/>
      <c r="K117" s="27"/>
      <c r="R117" s="14"/>
      <c r="S117" s="395"/>
      <c r="T117" s="619"/>
    </row>
    <row r="118" spans="1:20" ht="15.75" customHeight="1">
      <c r="A118" s="145" t="s">
        <v>57</v>
      </c>
      <c r="B118" s="146" t="s">
        <v>58</v>
      </c>
      <c r="C118" s="553">
        <v>1</v>
      </c>
      <c r="D118" s="147" t="s">
        <v>59</v>
      </c>
      <c r="E118" s="553" t="s">
        <v>610</v>
      </c>
      <c r="F118" s="148"/>
      <c r="G118" s="149">
        <v>20</v>
      </c>
      <c r="H118" s="554">
        <v>23</v>
      </c>
      <c r="I118" s="150" t="s">
        <v>60</v>
      </c>
      <c r="J118" s="151"/>
      <c r="K118" s="3" t="str">
        <f>IF(фио_ОС&lt;&gt;""," « "&amp;'общие сведения'!C118&amp;" » "&amp;'общие сведения'!E118&amp;" 20"&amp;год&amp;" г.","« __ » ___________  20__ г.")</f>
        <v>« __ » ___________  20__ г.</v>
      </c>
      <c r="R118" s="14"/>
      <c r="S118" s="395"/>
      <c r="T118" s="619"/>
    </row>
    <row r="119" spans="1:20" ht="12.75" customHeight="1">
      <c r="A119" s="145"/>
      <c r="B119" s="146"/>
      <c r="C119" s="147"/>
      <c r="D119" s="147"/>
      <c r="E119" s="147"/>
      <c r="F119" s="147"/>
      <c r="G119" s="147"/>
      <c r="H119" s="147"/>
      <c r="I119" s="150"/>
      <c r="J119" s="151"/>
      <c r="K119" s="152"/>
      <c r="R119" s="14"/>
      <c r="S119" s="395"/>
      <c r="T119" s="619"/>
    </row>
    <row r="120" spans="1:20" ht="24" customHeight="1">
      <c r="A120" s="646" t="s">
        <v>464</v>
      </c>
      <c r="B120" s="647"/>
      <c r="C120" s="647"/>
      <c r="D120" s="647"/>
      <c r="E120" s="647"/>
      <c r="F120" s="647"/>
      <c r="G120" s="647"/>
      <c r="H120" s="647"/>
      <c r="I120" s="647"/>
      <c r="J120" s="153"/>
      <c r="K120" s="27"/>
      <c r="R120" s="14"/>
      <c r="S120" s="395"/>
      <c r="T120" s="619"/>
    </row>
    <row r="121" spans="1:20" ht="15.75" customHeight="1">
      <c r="A121" s="399"/>
      <c r="B121" s="154"/>
      <c r="C121" s="154"/>
      <c r="D121" s="195"/>
      <c r="E121" s="155">
        <f>IF(F121="","","Всего набрано аттестуемым педагогическим работником  ")</f>
      </c>
      <c r="F121" s="413">
        <f>IF(ЭЗ!Всего=0,"",ЭЗ!Всего)</f>
      </c>
      <c r="G121" s="156">
        <f>IF(F121="","","баллов.")</f>
      </c>
      <c r="H121" s="195"/>
      <c r="I121" s="182">
        <f>IF(F121="","","(мин. П-"&amp;порог_п&amp;", В-"&amp;порог_в&amp;")")</f>
      </c>
      <c r="J121" s="30"/>
      <c r="K121" s="27"/>
      <c r="R121" s="14"/>
      <c r="S121" s="395"/>
      <c r="T121" s="619"/>
    </row>
    <row r="122" spans="1:20" ht="21.75" customHeight="1">
      <c r="A122" s="400"/>
      <c r="B122" s="333"/>
      <c r="C122" s="333"/>
      <c r="D122" s="333"/>
      <c r="E122" s="333"/>
      <c r="F122" s="414"/>
      <c r="G122" s="333"/>
      <c r="H122" s="333"/>
      <c r="I122" s="14"/>
      <c r="J122" s="515">
        <f>IF(OR(F121="",долж_ОС&lt;&gt;"учитель"),"",B24)</f>
      </c>
      <c r="K122" s="27"/>
      <c r="R122" s="14"/>
      <c r="S122" s="395"/>
      <c r="T122" s="619"/>
    </row>
    <row r="123" spans="1:20" ht="15" customHeight="1">
      <c r="A123" s="643">
        <f>IF(F121="","",ЭЗ!Z83&amp;K124&amp;ЭЗ!Z84)</f>
      </c>
      <c r="B123" s="644"/>
      <c r="C123" s="644"/>
      <c r="D123" s="644"/>
      <c r="E123" s="644"/>
      <c r="F123" s="644"/>
      <c r="G123" s="644"/>
      <c r="H123" s="644"/>
      <c r="I123" s="644"/>
      <c r="J123" s="645"/>
      <c r="K123" s="27">
        <f>ЭЗ!Z82</f>
      </c>
      <c r="R123" s="14"/>
      <c r="S123" s="395"/>
      <c r="T123" s="619"/>
    </row>
    <row r="124" spans="1:20" ht="23.25" customHeight="1">
      <c r="A124" s="643"/>
      <c r="B124" s="644"/>
      <c r="C124" s="644"/>
      <c r="D124" s="644"/>
      <c r="E124" s="644"/>
      <c r="F124" s="644"/>
      <c r="G124" s="644"/>
      <c r="H124" s="644"/>
      <c r="I124" s="644"/>
      <c r="J124" s="645"/>
      <c r="K124" s="446" t="s">
        <v>469</v>
      </c>
      <c r="L124" s="2" t="s">
        <v>506</v>
      </c>
      <c r="R124" s="14"/>
      <c r="S124" s="395"/>
      <c r="T124" s="619"/>
    </row>
    <row r="125" spans="1:20" ht="15.75" customHeight="1">
      <c r="A125" s="666">
        <f>IF(A126="","","Рекомендации: ")</f>
      </c>
      <c r="B125" s="667"/>
      <c r="C125" s="667"/>
      <c r="D125" s="667"/>
      <c r="E125" s="667"/>
      <c r="F125" s="667"/>
      <c r="G125" s="667"/>
      <c r="H125" s="667"/>
      <c r="I125" s="667"/>
      <c r="J125" s="668"/>
      <c r="K125" s="27"/>
      <c r="R125" s="14"/>
      <c r="S125" s="395"/>
      <c r="T125" s="619"/>
    </row>
    <row r="126" spans="1:20" ht="32.25" customHeight="1">
      <c r="A126" s="656">
        <f>IF(фио_ОС="","",рек_итог)</f>
      </c>
      <c r="B126" s="657"/>
      <c r="C126" s="657"/>
      <c r="D126" s="657"/>
      <c r="E126" s="657"/>
      <c r="F126" s="657"/>
      <c r="G126" s="657"/>
      <c r="H126" s="657"/>
      <c r="I126" s="657"/>
      <c r="J126" s="658"/>
      <c r="K126" s="27"/>
      <c r="R126" s="14"/>
      <c r="S126" s="395"/>
      <c r="T126" s="619"/>
    </row>
    <row r="127" spans="1:20" ht="3.75" customHeight="1">
      <c r="A127" s="157"/>
      <c r="B127" s="158"/>
      <c r="C127" s="158"/>
      <c r="D127" s="158"/>
      <c r="E127" s="158"/>
      <c r="F127" s="158"/>
      <c r="G127" s="158"/>
      <c r="H127" s="158"/>
      <c r="I127" s="158"/>
      <c r="J127" s="159"/>
      <c r="K127" s="27"/>
      <c r="R127" s="14"/>
      <c r="S127" s="395"/>
      <c r="T127" s="619"/>
    </row>
    <row r="128" spans="1:20" ht="15.75" customHeight="1">
      <c r="A128" s="659" t="str">
        <f>IF(ЭЗ!A448&lt;12,"Введите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8" s="660"/>
      <c r="C128" s="660"/>
      <c r="D128" s="660"/>
      <c r="E128" s="660"/>
      <c r="F128" s="660"/>
      <c r="G128" s="660"/>
      <c r="H128" s="660"/>
      <c r="I128" s="660"/>
      <c r="J128" s="661"/>
      <c r="K128" s="1"/>
      <c r="R128" s="14"/>
      <c r="S128" s="395"/>
      <c r="T128" s="619"/>
    </row>
    <row r="129" spans="1:20" ht="9" customHeight="1">
      <c r="A129" s="662"/>
      <c r="B129" s="663"/>
      <c r="C129" s="663"/>
      <c r="D129" s="663"/>
      <c r="E129" s="663"/>
      <c r="F129" s="663"/>
      <c r="G129" s="663"/>
      <c r="H129" s="663"/>
      <c r="I129" s="663"/>
      <c r="J129" s="664"/>
      <c r="K129" s="324" t="s">
        <v>61</v>
      </c>
      <c r="R129" s="14"/>
      <c r="S129" s="395"/>
      <c r="T129" s="619"/>
    </row>
    <row r="130" spans="1:20" ht="12.75" customHeight="1" hidden="1">
      <c r="A130" s="14"/>
      <c r="B130" s="160">
        <v>1</v>
      </c>
      <c r="C130" s="160">
        <v>2</v>
      </c>
      <c r="D130" s="160">
        <v>3</v>
      </c>
      <c r="E130" s="160">
        <v>4</v>
      </c>
      <c r="F130" s="160">
        <v>5</v>
      </c>
      <c r="G130" s="160">
        <v>6</v>
      </c>
      <c r="H130" s="160">
        <v>7</v>
      </c>
      <c r="I130" s="14"/>
      <c r="K130" s="2"/>
      <c r="L130" s="3"/>
      <c r="M130" s="4"/>
      <c r="N130" s="5"/>
      <c r="P130" s="161"/>
      <c r="Q130" s="14"/>
      <c r="R130" s="14"/>
      <c r="S130" s="395"/>
      <c r="T130" s="619"/>
    </row>
    <row r="131" spans="1:20" ht="15.75" customHeight="1" hidden="1">
      <c r="A131" s="14">
        <v>1</v>
      </c>
      <c r="B131" s="322" t="s">
        <v>62</v>
      </c>
      <c r="C131" s="323" t="s">
        <v>63</v>
      </c>
      <c r="D131" s="324" t="s">
        <v>64</v>
      </c>
      <c r="E131" s="323" t="s">
        <v>65</v>
      </c>
      <c r="F131" s="322" t="s">
        <v>66</v>
      </c>
      <c r="G131" s="323" t="s">
        <v>67</v>
      </c>
      <c r="H131" s="322" t="s">
        <v>68</v>
      </c>
      <c r="I131" s="325"/>
      <c r="J131" s="326" t="s">
        <v>611</v>
      </c>
      <c r="K131" s="2"/>
      <c r="L131" s="3"/>
      <c r="M131" s="4"/>
      <c r="N131" s="5"/>
      <c r="P131" s="161"/>
      <c r="Q131" s="14"/>
      <c r="R131" s="14"/>
      <c r="S131" s="395"/>
      <c r="T131" s="619"/>
    </row>
    <row r="132" spans="1:20" ht="15.75" customHeight="1" hidden="1">
      <c r="A132" s="14">
        <v>2</v>
      </c>
      <c r="B132" s="322" t="s">
        <v>275</v>
      </c>
      <c r="C132" s="323" t="s">
        <v>69</v>
      </c>
      <c r="D132" s="324" t="s">
        <v>336</v>
      </c>
      <c r="E132" s="323" t="s">
        <v>76</v>
      </c>
      <c r="F132" s="322" t="s">
        <v>70</v>
      </c>
      <c r="G132" s="323" t="s">
        <v>71</v>
      </c>
      <c r="H132" s="322" t="s">
        <v>72</v>
      </c>
      <c r="I132" s="14"/>
      <c r="K132" s="2"/>
      <c r="L132" s="3"/>
      <c r="M132" s="4"/>
      <c r="N132" s="5"/>
      <c r="P132" s="161"/>
      <c r="Q132" s="14"/>
      <c r="R132" s="14"/>
      <c r="S132" s="395"/>
      <c r="T132" s="619"/>
    </row>
    <row r="133" spans="1:20" ht="15.75" customHeight="1" hidden="1">
      <c r="A133" s="14">
        <v>3</v>
      </c>
      <c r="B133" s="322" t="s">
        <v>73</v>
      </c>
      <c r="C133" s="323" t="s">
        <v>74</v>
      </c>
      <c r="D133" s="324" t="s">
        <v>75</v>
      </c>
      <c r="E133" s="323" t="s">
        <v>85</v>
      </c>
      <c r="F133" s="322" t="s">
        <v>77</v>
      </c>
      <c r="G133" s="323" t="s">
        <v>78</v>
      </c>
      <c r="H133" s="322" t="s">
        <v>79</v>
      </c>
      <c r="I133" s="14"/>
      <c r="K133" s="2"/>
      <c r="L133" s="3"/>
      <c r="M133" s="4"/>
      <c r="N133" s="5"/>
      <c r="P133" s="161"/>
      <c r="Q133" s="14"/>
      <c r="R133" s="14"/>
      <c r="S133" s="395"/>
      <c r="T133" s="619"/>
    </row>
    <row r="134" spans="1:20" ht="15.75" customHeight="1" hidden="1">
      <c r="A134" s="14">
        <v>4</v>
      </c>
      <c r="B134" s="322" t="s">
        <v>82</v>
      </c>
      <c r="C134" s="323" t="s">
        <v>83</v>
      </c>
      <c r="D134" s="324" t="s">
        <v>80</v>
      </c>
      <c r="E134" s="323" t="s">
        <v>92</v>
      </c>
      <c r="F134" s="322" t="s">
        <v>338</v>
      </c>
      <c r="G134" s="323" t="s">
        <v>81</v>
      </c>
      <c r="H134" s="322" t="s">
        <v>612</v>
      </c>
      <c r="I134" s="14"/>
      <c r="K134" s="2"/>
      <c r="L134" s="3"/>
      <c r="M134" s="4"/>
      <c r="N134" s="5"/>
      <c r="P134" s="161"/>
      <c r="Q134" s="14"/>
      <c r="R134" s="14"/>
      <c r="S134" s="395"/>
      <c r="T134" s="619"/>
    </row>
    <row r="135" spans="1:20" ht="15.75" customHeight="1" hidden="1">
      <c r="A135" s="14">
        <v>5</v>
      </c>
      <c r="B135" s="322" t="s">
        <v>89</v>
      </c>
      <c r="C135" s="323" t="s">
        <v>90</v>
      </c>
      <c r="D135" s="324" t="s">
        <v>84</v>
      </c>
      <c r="E135" s="323" t="s">
        <v>98</v>
      </c>
      <c r="F135" s="322" t="s">
        <v>86</v>
      </c>
      <c r="G135" s="323" t="s">
        <v>87</v>
      </c>
      <c r="H135" s="322" t="s">
        <v>88</v>
      </c>
      <c r="I135" s="14"/>
      <c r="K135" s="2"/>
      <c r="L135" s="3"/>
      <c r="M135" s="4"/>
      <c r="N135" s="5"/>
      <c r="P135" s="161"/>
      <c r="Q135" s="14"/>
      <c r="R135" s="14"/>
      <c r="S135" s="395"/>
      <c r="T135" s="619"/>
    </row>
    <row r="136" spans="1:20" ht="15.75" customHeight="1" hidden="1">
      <c r="A136" s="14">
        <v>6</v>
      </c>
      <c r="B136" s="322" t="s">
        <v>96</v>
      </c>
      <c r="C136" s="323" t="s">
        <v>335</v>
      </c>
      <c r="D136" s="324" t="s">
        <v>91</v>
      </c>
      <c r="E136" s="323" t="s">
        <v>103</v>
      </c>
      <c r="F136" s="322" t="s">
        <v>93</v>
      </c>
      <c r="G136" s="323" t="s">
        <v>94</v>
      </c>
      <c r="H136" s="322" t="s">
        <v>95</v>
      </c>
      <c r="I136" s="14"/>
      <c r="K136" s="2"/>
      <c r="L136" s="3"/>
      <c r="M136" s="4"/>
      <c r="N136" s="5"/>
      <c r="P136" s="161"/>
      <c r="Q136" s="14"/>
      <c r="R136" s="14"/>
      <c r="S136" s="395"/>
      <c r="T136" s="619"/>
    </row>
    <row r="137" spans="1:20" ht="15.75" customHeight="1" hidden="1">
      <c r="A137" s="14">
        <v>7</v>
      </c>
      <c r="B137" s="322" t="s">
        <v>100</v>
      </c>
      <c r="C137" s="323" t="s">
        <v>101</v>
      </c>
      <c r="D137" s="324" t="s">
        <v>97</v>
      </c>
      <c r="E137" s="323" t="s">
        <v>109</v>
      </c>
      <c r="F137" s="322" t="s">
        <v>339</v>
      </c>
      <c r="G137" s="323" t="s">
        <v>105</v>
      </c>
      <c r="H137" s="322" t="s">
        <v>99</v>
      </c>
      <c r="I137" s="14"/>
      <c r="K137" s="2"/>
      <c r="L137" s="3"/>
      <c r="M137" s="4"/>
      <c r="N137" s="5"/>
      <c r="P137" s="161"/>
      <c r="Q137" s="14"/>
      <c r="R137" s="14"/>
      <c r="S137" s="395"/>
      <c r="T137" s="619"/>
    </row>
    <row r="138" spans="1:20" ht="15.75" customHeight="1" hidden="1">
      <c r="A138" s="14">
        <v>8</v>
      </c>
      <c r="B138" s="322" t="s">
        <v>107</v>
      </c>
      <c r="C138" s="323" t="s">
        <v>108</v>
      </c>
      <c r="D138" s="324" t="s">
        <v>102</v>
      </c>
      <c r="E138" s="323" t="s">
        <v>337</v>
      </c>
      <c r="F138" s="322" t="s">
        <v>104</v>
      </c>
      <c r="G138" s="324" t="s">
        <v>6</v>
      </c>
      <c r="H138" s="322" t="s">
        <v>106</v>
      </c>
      <c r="I138" s="14"/>
      <c r="K138" s="2"/>
      <c r="L138" s="3"/>
      <c r="M138" s="4"/>
      <c r="N138" s="5"/>
      <c r="P138" s="161"/>
      <c r="Q138" s="14"/>
      <c r="R138" s="14"/>
      <c r="S138" s="395"/>
      <c r="T138" s="619"/>
    </row>
    <row r="139" spans="1:20" ht="15.75" customHeight="1" hidden="1">
      <c r="A139" s="14">
        <v>9</v>
      </c>
      <c r="B139" s="322" t="s">
        <v>6</v>
      </c>
      <c r="C139" s="323" t="s">
        <v>111</v>
      </c>
      <c r="D139" s="324" t="s">
        <v>112</v>
      </c>
      <c r="E139" s="324" t="s">
        <v>6</v>
      </c>
      <c r="F139" s="322" t="s">
        <v>110</v>
      </c>
      <c r="G139" s="324" t="s">
        <v>6</v>
      </c>
      <c r="H139" s="324" t="s">
        <v>6</v>
      </c>
      <c r="I139" s="14"/>
      <c r="K139" s="2"/>
      <c r="L139" s="3"/>
      <c r="M139" s="4"/>
      <c r="N139" s="5"/>
      <c r="P139" s="161"/>
      <c r="Q139" s="14"/>
      <c r="R139" s="14"/>
      <c r="S139" s="395"/>
      <c r="T139" s="619"/>
    </row>
    <row r="140" spans="1:20" ht="15.75" customHeight="1" hidden="1">
      <c r="A140" s="14">
        <v>10</v>
      </c>
      <c r="B140" s="322" t="s">
        <v>6</v>
      </c>
      <c r="C140" s="323" t="s">
        <v>113</v>
      </c>
      <c r="D140" s="324" t="s">
        <v>6</v>
      </c>
      <c r="E140" s="324" t="s">
        <v>6</v>
      </c>
      <c r="F140" s="324" t="s">
        <v>6</v>
      </c>
      <c r="G140" s="324" t="s">
        <v>6</v>
      </c>
      <c r="H140" s="324" t="s">
        <v>6</v>
      </c>
      <c r="I140" s="14"/>
      <c r="K140" s="2"/>
      <c r="L140" s="3"/>
      <c r="M140" s="4"/>
      <c r="N140" s="5"/>
      <c r="P140" s="161"/>
      <c r="Q140" s="14"/>
      <c r="R140" s="14"/>
      <c r="S140" s="395"/>
      <c r="T140" s="619"/>
    </row>
    <row r="141" spans="1:20" ht="15.75" customHeight="1" hidden="1">
      <c r="A141" s="14">
        <v>11</v>
      </c>
      <c r="B141" s="322" t="s">
        <v>6</v>
      </c>
      <c r="C141" s="323" t="s">
        <v>114</v>
      </c>
      <c r="D141" s="324" t="s">
        <v>6</v>
      </c>
      <c r="E141" s="324" t="s">
        <v>6</v>
      </c>
      <c r="F141" s="324" t="s">
        <v>6</v>
      </c>
      <c r="G141" s="324" t="s">
        <v>6</v>
      </c>
      <c r="H141" s="324" t="s">
        <v>6</v>
      </c>
      <c r="I141" s="14"/>
      <c r="K141" s="2"/>
      <c r="L141" s="3"/>
      <c r="M141" s="4"/>
      <c r="N141" s="5"/>
      <c r="P141" s="161"/>
      <c r="Q141" s="14"/>
      <c r="R141" s="14"/>
      <c r="S141" s="395"/>
      <c r="T141" s="619"/>
    </row>
    <row r="142" spans="1:20" ht="15.75" customHeight="1" hidden="1">
      <c r="A142" s="14">
        <v>12</v>
      </c>
      <c r="B142" s="322" t="s">
        <v>6</v>
      </c>
      <c r="C142" s="323" t="s">
        <v>115</v>
      </c>
      <c r="D142" s="324" t="s">
        <v>6</v>
      </c>
      <c r="E142" s="324" t="s">
        <v>6</v>
      </c>
      <c r="F142" s="324" t="s">
        <v>6</v>
      </c>
      <c r="G142" s="324" t="s">
        <v>6</v>
      </c>
      <c r="H142" s="324" t="s">
        <v>6</v>
      </c>
      <c r="I142" s="14"/>
      <c r="K142" s="2"/>
      <c r="L142" s="3"/>
      <c r="M142" s="4"/>
      <c r="N142" s="5"/>
      <c r="P142" s="161"/>
      <c r="Q142" s="14"/>
      <c r="R142" s="14"/>
      <c r="S142" s="395"/>
      <c r="T142" s="619"/>
    </row>
    <row r="143" spans="1:20" ht="15.75" customHeight="1" hidden="1">
      <c r="A143" s="162" t="s">
        <v>6</v>
      </c>
      <c r="B143" s="162" t="s">
        <v>6</v>
      </c>
      <c r="C143" s="162" t="s">
        <v>6</v>
      </c>
      <c r="D143" s="162" t="s">
        <v>6</v>
      </c>
      <c r="E143" s="162" t="s">
        <v>6</v>
      </c>
      <c r="F143" s="162" t="s">
        <v>6</v>
      </c>
      <c r="G143" s="162" t="s">
        <v>6</v>
      </c>
      <c r="H143" s="162" t="s">
        <v>6</v>
      </c>
      <c r="I143" s="229" t="s">
        <v>613</v>
      </c>
      <c r="K143" s="2"/>
      <c r="L143" s="3"/>
      <c r="M143" s="4"/>
      <c r="N143" s="5"/>
      <c r="P143" s="161"/>
      <c r="Q143" s="14"/>
      <c r="R143" s="14"/>
      <c r="S143" s="395"/>
      <c r="T143" s="619"/>
    </row>
    <row r="144" spans="1:20" ht="12.75" customHeight="1" hidden="1">
      <c r="A144" s="162" t="s">
        <v>6</v>
      </c>
      <c r="B144" s="1097">
        <v>8</v>
      </c>
      <c r="C144" s="1097">
        <v>12</v>
      </c>
      <c r="D144" s="1097">
        <v>8</v>
      </c>
      <c r="E144" s="1097">
        <v>8</v>
      </c>
      <c r="F144" s="1097">
        <v>9</v>
      </c>
      <c r="G144" s="1097">
        <v>7</v>
      </c>
      <c r="H144" s="1097">
        <v>8</v>
      </c>
      <c r="I144" s="1098">
        <f>SUM(B144:H144)</f>
        <v>60</v>
      </c>
      <c r="K144" s="2"/>
      <c r="L144" s="3"/>
      <c r="M144" s="4"/>
      <c r="N144" s="5"/>
      <c r="P144" s="161"/>
      <c r="Q144" s="14"/>
      <c r="R144" s="14"/>
      <c r="S144" s="395"/>
      <c r="T144" s="619"/>
    </row>
    <row r="145" spans="1:20" ht="12.75" customHeight="1" hidden="1">
      <c r="A145" s="162" t="s">
        <v>6</v>
      </c>
      <c r="B145" s="162" t="s">
        <v>6</v>
      </c>
      <c r="C145" s="162" t="s">
        <v>6</v>
      </c>
      <c r="D145" s="162" t="s">
        <v>6</v>
      </c>
      <c r="E145" s="162" t="s">
        <v>6</v>
      </c>
      <c r="F145" s="162" t="s">
        <v>6</v>
      </c>
      <c r="G145" s="162" t="s">
        <v>6</v>
      </c>
      <c r="H145" s="162" t="s">
        <v>6</v>
      </c>
      <c r="I145" s="162" t="s">
        <v>6</v>
      </c>
      <c r="J145" s="30"/>
      <c r="K145" s="27"/>
      <c r="R145" s="14"/>
      <c r="S145" s="395"/>
      <c r="T145" s="619"/>
    </row>
    <row r="146" spans="1:20" ht="4.5" customHeight="1">
      <c r="A146" s="29"/>
      <c r="B146" s="14"/>
      <c r="C146" s="162"/>
      <c r="D146" s="162"/>
      <c r="E146" s="162"/>
      <c r="F146" s="14"/>
      <c r="G146" s="14"/>
      <c r="H146" s="14"/>
      <c r="I146" s="14"/>
      <c r="J146" s="30"/>
      <c r="K146" s="27"/>
      <c r="R146" s="14"/>
      <c r="S146" s="395"/>
      <c r="T146" s="619"/>
    </row>
    <row r="147" spans="1:256" ht="19.5" customHeight="1">
      <c r="A147" s="653" t="s">
        <v>116</v>
      </c>
      <c r="B147" s="654"/>
      <c r="C147" s="654"/>
      <c r="D147" s="654"/>
      <c r="E147" s="654"/>
      <c r="F147" s="654"/>
      <c r="G147" s="654"/>
      <c r="H147" s="654"/>
      <c r="I147" s="654"/>
      <c r="J147" s="655"/>
      <c r="K147" s="163"/>
      <c r="L147" s="164"/>
      <c r="M147" s="165"/>
      <c r="N147" s="166"/>
      <c r="O147" s="167"/>
      <c r="P147" s="167"/>
      <c r="Q147" s="167"/>
      <c r="R147" s="168"/>
      <c r="S147" s="395"/>
      <c r="T147" s="619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  <c r="CM147" s="167"/>
      <c r="CN147" s="167"/>
      <c r="CO147" s="167"/>
      <c r="CP147" s="167"/>
      <c r="CQ147" s="167"/>
      <c r="CR147" s="167"/>
      <c r="CS147" s="167"/>
      <c r="CT147" s="167"/>
      <c r="CU147" s="167"/>
      <c r="CV147" s="167"/>
      <c r="CW147" s="167"/>
      <c r="CX147" s="167"/>
      <c r="CY147" s="167"/>
      <c r="CZ147" s="167"/>
      <c r="DA147" s="167"/>
      <c r="DB147" s="167"/>
      <c r="DC147" s="167"/>
      <c r="DD147" s="167"/>
      <c r="DE147" s="167"/>
      <c r="DF147" s="167"/>
      <c r="DG147" s="167"/>
      <c r="DH147" s="167"/>
      <c r="DI147" s="167"/>
      <c r="DJ147" s="167"/>
      <c r="DK147" s="167"/>
      <c r="DL147" s="167"/>
      <c r="DM147" s="167"/>
      <c r="DN147" s="167"/>
      <c r="DO147" s="167"/>
      <c r="DP147" s="167"/>
      <c r="DQ147" s="167"/>
      <c r="DR147" s="167"/>
      <c r="DS147" s="167"/>
      <c r="DT147" s="167"/>
      <c r="DU147" s="167"/>
      <c r="DV147" s="167"/>
      <c r="DW147" s="167"/>
      <c r="DX147" s="167"/>
      <c r="DY147" s="167"/>
      <c r="DZ147" s="167"/>
      <c r="EA147" s="167"/>
      <c r="EB147" s="167"/>
      <c r="EC147" s="167"/>
      <c r="ED147" s="167"/>
      <c r="EE147" s="167"/>
      <c r="EF147" s="167"/>
      <c r="EG147" s="167"/>
      <c r="EH147" s="167"/>
      <c r="EI147" s="167"/>
      <c r="EJ147" s="167"/>
      <c r="EK147" s="167"/>
      <c r="EL147" s="167"/>
      <c r="EM147" s="167"/>
      <c r="EN147" s="167"/>
      <c r="EO147" s="167"/>
      <c r="EP147" s="167"/>
      <c r="EQ147" s="167"/>
      <c r="ER147" s="167"/>
      <c r="ES147" s="167"/>
      <c r="ET147" s="167"/>
      <c r="EU147" s="167"/>
      <c r="EV147" s="167"/>
      <c r="EW147" s="167"/>
      <c r="EX147" s="167"/>
      <c r="EY147" s="167"/>
      <c r="EZ147" s="167"/>
      <c r="FA147" s="167"/>
      <c r="FB147" s="167"/>
      <c r="FC147" s="167"/>
      <c r="FD147" s="167"/>
      <c r="FE147" s="167"/>
      <c r="FF147" s="167"/>
      <c r="FG147" s="167"/>
      <c r="FH147" s="167"/>
      <c r="FI147" s="167"/>
      <c r="FJ147" s="167"/>
      <c r="FK147" s="167"/>
      <c r="FL147" s="167"/>
      <c r="FM147" s="167"/>
      <c r="FN147" s="167"/>
      <c r="FO147" s="167"/>
      <c r="FP147" s="167"/>
      <c r="FQ147" s="167"/>
      <c r="FR147" s="167"/>
      <c r="FS147" s="167"/>
      <c r="FT147" s="167"/>
      <c r="FU147" s="167"/>
      <c r="FV147" s="167"/>
      <c r="FW147" s="167"/>
      <c r="FX147" s="167"/>
      <c r="FY147" s="167"/>
      <c r="FZ147" s="167"/>
      <c r="GA147" s="167"/>
      <c r="GB147" s="167"/>
      <c r="GC147" s="167"/>
      <c r="GD147" s="167"/>
      <c r="GE147" s="167"/>
      <c r="GF147" s="167"/>
      <c r="GG147" s="167"/>
      <c r="GH147" s="167"/>
      <c r="GI147" s="167"/>
      <c r="GJ147" s="167"/>
      <c r="GK147" s="167"/>
      <c r="GL147" s="167"/>
      <c r="GM147" s="167"/>
      <c r="GN147" s="167"/>
      <c r="GO147" s="167"/>
      <c r="GP147" s="167"/>
      <c r="GQ147" s="167"/>
      <c r="GR147" s="167"/>
      <c r="GS147" s="167"/>
      <c r="GT147" s="167"/>
      <c r="GU147" s="167"/>
      <c r="GV147" s="167"/>
      <c r="GW147" s="167"/>
      <c r="GX147" s="167"/>
      <c r="GY147" s="167"/>
      <c r="GZ147" s="167"/>
      <c r="HA147" s="167"/>
      <c r="HB147" s="167"/>
      <c r="HC147" s="167"/>
      <c r="HD147" s="167"/>
      <c r="HE147" s="167"/>
      <c r="HF147" s="167"/>
      <c r="HG147" s="167"/>
      <c r="HH147" s="167"/>
      <c r="HI147" s="167"/>
      <c r="HJ147" s="167"/>
      <c r="HK147" s="167"/>
      <c r="HL147" s="167"/>
      <c r="HM147" s="167"/>
      <c r="HN147" s="167"/>
      <c r="HO147" s="167"/>
      <c r="HP147" s="167"/>
      <c r="HQ147" s="167"/>
      <c r="HR147" s="167"/>
      <c r="HS147" s="167"/>
      <c r="HT147" s="167"/>
      <c r="HU147" s="167"/>
      <c r="HV147" s="167"/>
      <c r="HW147" s="167"/>
      <c r="HX147" s="167"/>
      <c r="HY147" s="167"/>
      <c r="HZ147" s="167"/>
      <c r="IA147" s="167"/>
      <c r="IB147" s="167"/>
      <c r="IC147" s="167"/>
      <c r="ID147" s="167"/>
      <c r="IE147" s="167"/>
      <c r="IF147" s="167"/>
      <c r="IG147" s="167"/>
      <c r="IH147" s="167"/>
      <c r="II147" s="167"/>
      <c r="IJ147" s="167"/>
      <c r="IK147" s="167"/>
      <c r="IL147" s="167"/>
      <c r="IM147" s="167"/>
      <c r="IN147" s="167"/>
      <c r="IO147" s="167"/>
      <c r="IP147" s="167"/>
      <c r="IQ147" s="167"/>
      <c r="IR147" s="167"/>
      <c r="IS147" s="167"/>
      <c r="IT147" s="167"/>
      <c r="IU147" s="167"/>
      <c r="IV147" s="167"/>
    </row>
    <row r="148" spans="1:256" s="70" customFormat="1" ht="4.5" customHeight="1">
      <c r="A148" s="29"/>
      <c r="B148" s="14"/>
      <c r="C148" s="14"/>
      <c r="D148" s="14"/>
      <c r="E148" s="14"/>
      <c r="F148" s="14"/>
      <c r="G148" s="14"/>
      <c r="H148" s="14"/>
      <c r="I148" s="14"/>
      <c r="J148" s="30"/>
      <c r="K148" s="27"/>
      <c r="L148" s="164"/>
      <c r="M148" s="3"/>
      <c r="N148" s="4"/>
      <c r="O148" s="5"/>
      <c r="P148" s="5"/>
      <c r="Q148" s="5"/>
      <c r="R148" s="14"/>
      <c r="S148" s="395"/>
      <c r="T148" s="619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0" customFormat="1" ht="4.5" customHeight="1">
      <c r="A149" s="29"/>
      <c r="B149" s="14"/>
      <c r="C149" s="14"/>
      <c r="D149" s="14"/>
      <c r="E149" s="14"/>
      <c r="F149" s="14"/>
      <c r="G149" s="14"/>
      <c r="H149" s="14"/>
      <c r="I149" s="14"/>
      <c r="J149" s="30"/>
      <c r="K149" s="27"/>
      <c r="L149" s="164"/>
      <c r="M149" s="3"/>
      <c r="N149" s="4"/>
      <c r="O149" s="5"/>
      <c r="P149" s="5"/>
      <c r="Q149" s="5"/>
      <c r="R149" s="14"/>
      <c r="S149" s="395"/>
      <c r="T149" s="619"/>
      <c r="U149" s="5"/>
      <c r="V149" s="17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9.5" customHeight="1">
      <c r="A150" s="653" t="s">
        <v>162</v>
      </c>
      <c r="B150" s="654"/>
      <c r="C150" s="654"/>
      <c r="D150" s="654"/>
      <c r="E150" s="654"/>
      <c r="F150" s="654"/>
      <c r="G150" s="654"/>
      <c r="H150" s="654"/>
      <c r="I150" s="654"/>
      <c r="J150" s="655"/>
      <c r="K150" s="163"/>
      <c r="L150" s="164"/>
      <c r="M150" s="171"/>
      <c r="N150" s="171"/>
      <c r="O150" s="171"/>
      <c r="P150" s="172"/>
      <c r="Q150" s="172"/>
      <c r="R150" s="168"/>
      <c r="S150" s="395"/>
      <c r="T150" s="619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  <c r="DE150" s="167"/>
      <c r="DF150" s="167"/>
      <c r="DG150" s="167"/>
      <c r="DH150" s="167"/>
      <c r="DI150" s="167"/>
      <c r="DJ150" s="167"/>
      <c r="DK150" s="167"/>
      <c r="DL150" s="167"/>
      <c r="DM150" s="167"/>
      <c r="DN150" s="167"/>
      <c r="DO150" s="167"/>
      <c r="DP150" s="167"/>
      <c r="DQ150" s="167"/>
      <c r="DR150" s="167"/>
      <c r="DS150" s="167"/>
      <c r="DT150" s="167"/>
      <c r="DU150" s="167"/>
      <c r="DV150" s="167"/>
      <c r="DW150" s="167"/>
      <c r="DX150" s="167"/>
      <c r="DY150" s="167"/>
      <c r="DZ150" s="167"/>
      <c r="EA150" s="167"/>
      <c r="EB150" s="167"/>
      <c r="EC150" s="167"/>
      <c r="ED150" s="167"/>
      <c r="EE150" s="167"/>
      <c r="EF150" s="167"/>
      <c r="EG150" s="167"/>
      <c r="EH150" s="167"/>
      <c r="EI150" s="167"/>
      <c r="EJ150" s="167"/>
      <c r="EK150" s="167"/>
      <c r="EL150" s="167"/>
      <c r="EM150" s="167"/>
      <c r="EN150" s="167"/>
      <c r="EO150" s="167"/>
      <c r="EP150" s="167"/>
      <c r="EQ150" s="167"/>
      <c r="ER150" s="167"/>
      <c r="ES150" s="167"/>
      <c r="ET150" s="167"/>
      <c r="EU150" s="167"/>
      <c r="EV150" s="167"/>
      <c r="EW150" s="167"/>
      <c r="EX150" s="167"/>
      <c r="EY150" s="167"/>
      <c r="EZ150" s="167"/>
      <c r="FA150" s="167"/>
      <c r="FB150" s="167"/>
      <c r="FC150" s="167"/>
      <c r="FD150" s="167"/>
      <c r="FE150" s="167"/>
      <c r="FF150" s="167"/>
      <c r="FG150" s="167"/>
      <c r="FH150" s="167"/>
      <c r="FI150" s="167"/>
      <c r="FJ150" s="167"/>
      <c r="FK150" s="167"/>
      <c r="FL150" s="167"/>
      <c r="FM150" s="167"/>
      <c r="FN150" s="167"/>
      <c r="FO150" s="167"/>
      <c r="FP150" s="167"/>
      <c r="FQ150" s="167"/>
      <c r="FR150" s="167"/>
      <c r="FS150" s="167"/>
      <c r="FT150" s="167"/>
      <c r="FU150" s="167"/>
      <c r="FV150" s="167"/>
      <c r="FW150" s="167"/>
      <c r="FX150" s="167"/>
      <c r="FY150" s="167"/>
      <c r="FZ150" s="167"/>
      <c r="GA150" s="167"/>
      <c r="GB150" s="167"/>
      <c r="GC150" s="167"/>
      <c r="GD150" s="167"/>
      <c r="GE150" s="167"/>
      <c r="GF150" s="167"/>
      <c r="GG150" s="167"/>
      <c r="GH150" s="167"/>
      <c r="GI150" s="167"/>
      <c r="GJ150" s="167"/>
      <c r="GK150" s="167"/>
      <c r="GL150" s="167"/>
      <c r="GM150" s="167"/>
      <c r="GN150" s="167"/>
      <c r="GO150" s="167"/>
      <c r="GP150" s="167"/>
      <c r="GQ150" s="167"/>
      <c r="GR150" s="167"/>
      <c r="GS150" s="167"/>
      <c r="GT150" s="167"/>
      <c r="GU150" s="167"/>
      <c r="GV150" s="167"/>
      <c r="GW150" s="167"/>
      <c r="GX150" s="167"/>
      <c r="GY150" s="167"/>
      <c r="GZ150" s="167"/>
      <c r="HA150" s="167"/>
      <c r="HB150" s="167"/>
      <c r="HC150" s="167"/>
      <c r="HD150" s="167"/>
      <c r="HE150" s="167"/>
      <c r="HF150" s="167"/>
      <c r="HG150" s="167"/>
      <c r="HH150" s="167"/>
      <c r="HI150" s="167"/>
      <c r="HJ150" s="167"/>
      <c r="HK150" s="167"/>
      <c r="HL150" s="167"/>
      <c r="HM150" s="167"/>
      <c r="HN150" s="167"/>
      <c r="HO150" s="167"/>
      <c r="HP150" s="167"/>
      <c r="HQ150" s="167"/>
      <c r="HR150" s="167"/>
      <c r="HS150" s="167"/>
      <c r="HT150" s="167"/>
      <c r="HU150" s="167"/>
      <c r="HV150" s="167"/>
      <c r="HW150" s="167"/>
      <c r="HX150" s="167"/>
      <c r="HY150" s="167"/>
      <c r="HZ150" s="167"/>
      <c r="IA150" s="167"/>
      <c r="IB150" s="167"/>
      <c r="IC150" s="167"/>
      <c r="ID150" s="167"/>
      <c r="IE150" s="167"/>
      <c r="IF150" s="167"/>
      <c r="IG150" s="167"/>
      <c r="IH150" s="167"/>
      <c r="II150" s="167"/>
      <c r="IJ150" s="167"/>
      <c r="IK150" s="167"/>
      <c r="IL150" s="167"/>
      <c r="IM150" s="167"/>
      <c r="IN150" s="167"/>
      <c r="IO150" s="167"/>
      <c r="IP150" s="167"/>
      <c r="IQ150" s="167"/>
      <c r="IR150" s="167"/>
      <c r="IS150" s="167"/>
      <c r="IT150" s="167"/>
      <c r="IU150" s="167"/>
      <c r="IV150" s="167"/>
    </row>
    <row r="151" spans="1:2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7"/>
      <c r="L151" s="14"/>
      <c r="M151" s="14"/>
      <c r="N151" s="14"/>
      <c r="O151" s="14"/>
      <c r="P151" s="14"/>
      <c r="Q151" s="14"/>
      <c r="R151" s="14"/>
      <c r="S151" s="587"/>
      <c r="T151" s="617"/>
    </row>
    <row r="152" spans="1:20" ht="23.25" customHeight="1">
      <c r="A152" s="716" t="s">
        <v>176</v>
      </c>
      <c r="B152" s="716"/>
      <c r="C152" s="716"/>
      <c r="D152" s="716"/>
      <c r="E152" s="716"/>
      <c r="F152" s="716"/>
      <c r="G152" s="716"/>
      <c r="H152" s="716"/>
      <c r="I152" s="716"/>
      <c r="J152" s="716"/>
      <c r="K152" s="27"/>
      <c r="L152" s="27"/>
      <c r="M152" s="27"/>
      <c r="N152" s="27"/>
      <c r="O152" s="14"/>
      <c r="P152" s="14"/>
      <c r="Q152" s="14"/>
      <c r="R152" s="14"/>
      <c r="S152" s="587"/>
      <c r="T152" s="588"/>
    </row>
    <row r="153" spans="1:20" ht="16.5" customHeight="1">
      <c r="A153" s="716" t="s">
        <v>163</v>
      </c>
      <c r="B153" s="716"/>
      <c r="C153" s="716"/>
      <c r="D153" s="716"/>
      <c r="E153" s="716"/>
      <c r="F153" s="716"/>
      <c r="G153" s="716"/>
      <c r="H153" s="716"/>
      <c r="I153" s="716"/>
      <c r="J153" s="716"/>
      <c r="K153" s="27"/>
      <c r="L153" s="711" t="s">
        <v>495</v>
      </c>
      <c r="M153" s="711"/>
      <c r="N153" s="13"/>
      <c r="O153" s="14"/>
      <c r="P153" s="14"/>
      <c r="Q153" s="14"/>
      <c r="R153" s="14"/>
      <c r="S153" s="587"/>
      <c r="T153" s="588"/>
    </row>
    <row r="154" spans="1:256" ht="18.75" customHeight="1">
      <c r="A154" s="665" t="s">
        <v>516</v>
      </c>
      <c r="B154" s="665"/>
      <c r="C154" s="665"/>
      <c r="D154" s="665"/>
      <c r="E154" s="665"/>
      <c r="F154" s="665"/>
      <c r="G154" s="665"/>
      <c r="H154" s="665"/>
      <c r="I154" s="665"/>
      <c r="J154" s="665"/>
      <c r="K154" s="27"/>
      <c r="L154" s="589"/>
      <c r="M154" s="589"/>
      <c r="N154" s="590" t="s">
        <v>164</v>
      </c>
      <c r="O154" s="589"/>
      <c r="P154" s="589"/>
      <c r="Q154" s="589"/>
      <c r="R154" s="589"/>
      <c r="S154" s="587"/>
      <c r="T154" s="588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  <c r="GN154" s="169"/>
      <c r="GO154" s="169"/>
      <c r="GP154" s="169"/>
      <c r="GQ154" s="169"/>
      <c r="GR154" s="169"/>
      <c r="GS154" s="169"/>
      <c r="GT154" s="169"/>
      <c r="GU154" s="169"/>
      <c r="GV154" s="169"/>
      <c r="GW154" s="169"/>
      <c r="GX154" s="169"/>
      <c r="GY154" s="169"/>
      <c r="GZ154" s="169"/>
      <c r="HA154" s="169"/>
      <c r="HB154" s="169"/>
      <c r="HC154" s="169"/>
      <c r="HD154" s="169"/>
      <c r="HE154" s="169"/>
      <c r="HF154" s="169"/>
      <c r="HG154" s="169"/>
      <c r="HH154" s="169"/>
      <c r="HI154" s="169"/>
      <c r="HJ154" s="169"/>
      <c r="HK154" s="169"/>
      <c r="HL154" s="169"/>
      <c r="HM154" s="169"/>
      <c r="HN154" s="169"/>
      <c r="HO154" s="169"/>
      <c r="HP154" s="169"/>
      <c r="HQ154" s="169"/>
      <c r="HR154" s="169"/>
      <c r="HS154" s="169"/>
      <c r="HT154" s="169"/>
      <c r="HU154" s="169"/>
      <c r="HV154" s="169"/>
      <c r="HW154" s="169"/>
      <c r="HX154" s="169"/>
      <c r="HY154" s="169"/>
      <c r="HZ154" s="169"/>
      <c r="IA154" s="169"/>
      <c r="IB154" s="169"/>
      <c r="IC154" s="169"/>
      <c r="ID154" s="169"/>
      <c r="IE154" s="169"/>
      <c r="IF154" s="169"/>
      <c r="IG154" s="169"/>
      <c r="IH154" s="169"/>
      <c r="II154" s="169"/>
      <c r="IJ154" s="169"/>
      <c r="IK154" s="169"/>
      <c r="IL154" s="169"/>
      <c r="IM154" s="169"/>
      <c r="IN154" s="169"/>
      <c r="IO154" s="169"/>
      <c r="IP154" s="169"/>
      <c r="IQ154" s="169"/>
      <c r="IR154" s="169"/>
      <c r="IS154" s="169"/>
      <c r="IT154" s="169"/>
      <c r="IU154" s="169"/>
      <c r="IV154" s="169"/>
    </row>
    <row r="155" spans="1:256" ht="12.75">
      <c r="A155" s="626" t="s">
        <v>165</v>
      </c>
      <c r="B155" s="626"/>
      <c r="C155" s="626"/>
      <c r="D155" s="626"/>
      <c r="E155" s="626"/>
      <c r="F155" s="626"/>
      <c r="G155" s="626"/>
      <c r="H155" s="626"/>
      <c r="I155" s="626"/>
      <c r="J155" s="626"/>
      <c r="K155" s="651" t="s">
        <v>166</v>
      </c>
      <c r="L155" s="173" t="s">
        <v>167</v>
      </c>
      <c r="M155" s="591" t="str">
        <f>IF(вывод1="да",_72ч,"")</f>
        <v>В течение одного года пройти обучение по программе повышения квалификации.</v>
      </c>
      <c r="N155" s="592" t="s">
        <v>463</v>
      </c>
      <c r="O155" s="589"/>
      <c r="P155" s="589"/>
      <c r="Q155" s="589"/>
      <c r="R155" s="589"/>
      <c r="S155" s="587"/>
      <c r="T155" s="588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  <c r="GN155" s="169"/>
      <c r="GO155" s="169"/>
      <c r="GP155" s="169"/>
      <c r="GQ155" s="169"/>
      <c r="GR155" s="169"/>
      <c r="GS155" s="169"/>
      <c r="GT155" s="169"/>
      <c r="GU155" s="169"/>
      <c r="GV155" s="169"/>
      <c r="GW155" s="169"/>
      <c r="GX155" s="169"/>
      <c r="GY155" s="169"/>
      <c r="GZ155" s="169"/>
      <c r="HA155" s="169"/>
      <c r="HB155" s="169"/>
      <c r="HC155" s="169"/>
      <c r="HD155" s="169"/>
      <c r="HE155" s="169"/>
      <c r="HF155" s="169"/>
      <c r="HG155" s="169"/>
      <c r="HH155" s="169"/>
      <c r="HI155" s="169"/>
      <c r="HJ155" s="169"/>
      <c r="HK155" s="169"/>
      <c r="HL155" s="169"/>
      <c r="HM155" s="169"/>
      <c r="HN155" s="169"/>
      <c r="HO155" s="169"/>
      <c r="HP155" s="169"/>
      <c r="HQ155" s="169"/>
      <c r="HR155" s="169"/>
      <c r="HS155" s="169"/>
      <c r="HT155" s="169"/>
      <c r="HU155" s="169"/>
      <c r="HV155" s="169"/>
      <c r="HW155" s="169"/>
      <c r="HX155" s="169"/>
      <c r="HY155" s="169"/>
      <c r="HZ155" s="169"/>
      <c r="IA155" s="169"/>
      <c r="IB155" s="169"/>
      <c r="IC155" s="169"/>
      <c r="ID155" s="169"/>
      <c r="IE155" s="169"/>
      <c r="IF155" s="169"/>
      <c r="IG155" s="169"/>
      <c r="IH155" s="169"/>
      <c r="II155" s="169"/>
      <c r="IJ155" s="169"/>
      <c r="IK155" s="169"/>
      <c r="IL155" s="169"/>
      <c r="IM155" s="169"/>
      <c r="IN155" s="169"/>
      <c r="IO155" s="169"/>
      <c r="IP155" s="169"/>
      <c r="IQ155" s="169"/>
      <c r="IR155" s="169"/>
      <c r="IS155" s="169"/>
      <c r="IT155" s="169"/>
      <c r="IU155" s="169"/>
      <c r="IV155" s="169"/>
    </row>
    <row r="156" spans="1:256" ht="11.25" customHeight="1">
      <c r="A156" s="626"/>
      <c r="B156" s="626"/>
      <c r="C156" s="626"/>
      <c r="D156" s="626"/>
      <c r="E156" s="626"/>
      <c r="F156" s="626"/>
      <c r="G156" s="626"/>
      <c r="H156" s="626"/>
      <c r="I156" s="626"/>
      <c r="J156" s="626"/>
      <c r="K156" s="651"/>
      <c r="L156" s="174" t="s">
        <v>168</v>
      </c>
      <c r="M156" s="59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6" s="592" t="s">
        <v>169</v>
      </c>
      <c r="O156" s="589"/>
      <c r="P156" s="589"/>
      <c r="Q156" s="589"/>
      <c r="R156" s="589"/>
      <c r="S156" s="587"/>
      <c r="T156" s="588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  <c r="IF156" s="169"/>
      <c r="IG156" s="169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</row>
    <row r="157" spans="1:256" s="14" customFormat="1" ht="4.5" customHeight="1">
      <c r="A157" s="439"/>
      <c r="B157" s="439"/>
      <c r="C157" s="439"/>
      <c r="D157" s="439"/>
      <c r="E157" s="439"/>
      <c r="F157" s="439"/>
      <c r="G157" s="439"/>
      <c r="H157" s="439"/>
      <c r="I157" s="439"/>
      <c r="J157" s="439"/>
      <c r="K157" s="175"/>
      <c r="L157" s="589"/>
      <c r="M157" s="594"/>
      <c r="N157" s="595"/>
      <c r="O157" s="589"/>
      <c r="P157" s="589"/>
      <c r="Q157" s="589"/>
      <c r="R157" s="589"/>
      <c r="S157" s="587"/>
      <c r="T157" s="588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  <c r="IF157" s="169"/>
      <c r="IG157" s="169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</row>
    <row r="158" spans="1:256" ht="12.75" customHeight="1" hidden="1">
      <c r="A158" s="652" t="str">
        <f>O171</f>
        <v>2) если у педагога нет высшего или среднего профессионального образования  по направлению подготовки "Образование и педагогика"</v>
      </c>
      <c r="B158" s="652"/>
      <c r="C158" s="652"/>
      <c r="D158" s="652"/>
      <c r="E158" s="652"/>
      <c r="F158" s="652"/>
      <c r="G158" s="652"/>
      <c r="H158" s="652"/>
      <c r="I158" s="652"/>
      <c r="J158" s="652"/>
      <c r="K158" s="176"/>
      <c r="L158" s="623"/>
      <c r="M158" s="623"/>
      <c r="N158" s="623"/>
      <c r="O158" s="589"/>
      <c r="P158" s="589"/>
      <c r="Q158" s="589"/>
      <c r="R158" s="589"/>
      <c r="S158" s="587"/>
      <c r="T158" s="588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  <c r="IF158" s="169"/>
      <c r="IG158" s="169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</row>
    <row r="159" spans="1:256" ht="15.75" customHeight="1" hidden="1">
      <c r="A159" s="652"/>
      <c r="B159" s="652"/>
      <c r="C159" s="652"/>
      <c r="D159" s="652"/>
      <c r="E159" s="652"/>
      <c r="F159" s="652"/>
      <c r="G159" s="652"/>
      <c r="H159" s="652"/>
      <c r="I159" s="652"/>
      <c r="J159" s="652"/>
      <c r="K159" s="176"/>
      <c r="L159" s="623"/>
      <c r="M159" s="623"/>
      <c r="N159" s="623"/>
      <c r="O159" s="589"/>
      <c r="P159" s="589"/>
      <c r="Q159" s="589"/>
      <c r="R159" s="589"/>
      <c r="S159" s="587"/>
      <c r="T159" s="588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  <c r="IF159" s="169"/>
      <c r="IG159" s="169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</row>
    <row r="160" spans="1:256" ht="12.75">
      <c r="A160" s="652"/>
      <c r="B160" s="652"/>
      <c r="C160" s="652"/>
      <c r="D160" s="652"/>
      <c r="E160" s="652"/>
      <c r="F160" s="652"/>
      <c r="G160" s="652"/>
      <c r="H160" s="652"/>
      <c r="I160" s="652"/>
      <c r="J160" s="652"/>
      <c r="K160" s="176"/>
      <c r="L160" s="623"/>
      <c r="M160" s="623"/>
      <c r="N160" s="623"/>
      <c r="O160" s="589"/>
      <c r="P160" s="589"/>
      <c r="Q160" s="589"/>
      <c r="R160" s="589"/>
      <c r="S160" s="587"/>
      <c r="T160" s="588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  <c r="IF160" s="169"/>
      <c r="IG160" s="169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</row>
    <row r="161" spans="1:256" ht="3" customHeight="1">
      <c r="A161" s="652"/>
      <c r="B161" s="652"/>
      <c r="C161" s="652"/>
      <c r="D161" s="652"/>
      <c r="E161" s="652"/>
      <c r="F161" s="652"/>
      <c r="G161" s="652"/>
      <c r="H161" s="652"/>
      <c r="I161" s="652"/>
      <c r="J161" s="652"/>
      <c r="K161" s="176"/>
      <c r="L161" s="589"/>
      <c r="M161" s="589"/>
      <c r="N161" s="595"/>
      <c r="O161" s="589"/>
      <c r="P161" s="589"/>
      <c r="Q161" s="589"/>
      <c r="R161" s="589"/>
      <c r="S161" s="587"/>
      <c r="T161" s="588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</row>
    <row r="162" spans="1:20" ht="22.5" customHeight="1">
      <c r="A162" s="626" t="str">
        <f>N171</f>
        <v>Получить  дополнительное профессиональное образование по направлению подготовки "Образование и педагогика". </v>
      </c>
      <c r="B162" s="626"/>
      <c r="C162" s="626"/>
      <c r="D162" s="626"/>
      <c r="E162" s="626"/>
      <c r="F162" s="626"/>
      <c r="G162" s="626"/>
      <c r="H162" s="626"/>
      <c r="I162" s="626"/>
      <c r="J162" s="626"/>
      <c r="K162" s="627" t="s">
        <v>171</v>
      </c>
      <c r="L162" s="596" t="s">
        <v>172</v>
      </c>
      <c r="M162" s="116" t="s">
        <v>169</v>
      </c>
      <c r="N162" s="13"/>
      <c r="O162" s="14"/>
      <c r="P162" s="14"/>
      <c r="Q162" s="14"/>
      <c r="R162" s="14"/>
      <c r="S162" s="587"/>
      <c r="T162" s="588"/>
    </row>
    <row r="163" spans="1:20" ht="15.75" customHeight="1" hidden="1">
      <c r="A163" s="597" t="s">
        <v>173</v>
      </c>
      <c r="B163" s="444" t="s">
        <v>174</v>
      </c>
      <c r="C163" s="445"/>
      <c r="D163" s="445"/>
      <c r="E163" s="445"/>
      <c r="F163" s="445"/>
      <c r="G163" s="445"/>
      <c r="H163" s="445"/>
      <c r="I163" s="445"/>
      <c r="J163" s="598"/>
      <c r="K163" s="627"/>
      <c r="L163" s="599"/>
      <c r="M163" s="12"/>
      <c r="N163" s="13"/>
      <c r="O163" s="14"/>
      <c r="P163" s="14"/>
      <c r="Q163" s="14"/>
      <c r="R163" s="14"/>
      <c r="S163" s="587"/>
      <c r="T163" s="588"/>
    </row>
    <row r="164" spans="1:256" ht="21" customHeight="1" hidden="1">
      <c r="A164" s="637">
        <f>""</f>
      </c>
      <c r="B164" s="637"/>
      <c r="C164" s="637"/>
      <c r="D164" s="637"/>
      <c r="E164" s="637"/>
      <c r="F164" s="637"/>
      <c r="G164" s="637"/>
      <c r="H164" s="637"/>
      <c r="I164" s="637"/>
      <c r="J164" s="445"/>
      <c r="K164" s="115" t="s">
        <v>175</v>
      </c>
      <c r="L164" s="116"/>
      <c r="M164" s="12"/>
      <c r="N164" s="27"/>
      <c r="O164" s="27"/>
      <c r="P164" s="27"/>
      <c r="Q164" s="27"/>
      <c r="R164" s="27"/>
      <c r="S164" s="587"/>
      <c r="T164" s="588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ht="1.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77"/>
      <c r="M165" s="177"/>
      <c r="N165" s="27"/>
      <c r="O165" s="27"/>
      <c r="P165" s="27"/>
      <c r="Q165" s="27"/>
      <c r="R165" s="27"/>
      <c r="S165" s="587"/>
      <c r="T165" s="588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</row>
    <row r="166" spans="1:20" ht="5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16"/>
      <c r="M166" s="589"/>
      <c r="N166" s="14"/>
      <c r="O166" s="14"/>
      <c r="P166" s="14"/>
      <c r="Q166" s="14"/>
      <c r="R166" s="14"/>
      <c r="S166" s="587"/>
      <c r="T166" s="588"/>
    </row>
    <row r="167" spans="1:20" ht="16.5" customHeight="1">
      <c r="A167" s="716" t="s">
        <v>514</v>
      </c>
      <c r="B167" s="716"/>
      <c r="C167" s="716"/>
      <c r="D167" s="716"/>
      <c r="E167" s="716"/>
      <c r="F167" s="716"/>
      <c r="G167" s="716"/>
      <c r="H167" s="716"/>
      <c r="I167" s="716"/>
      <c r="J167" s="716"/>
      <c r="K167" s="27" t="s">
        <v>512</v>
      </c>
      <c r="L167" s="14"/>
      <c r="M167" s="14"/>
      <c r="N167" s="14"/>
      <c r="O167" s="14"/>
      <c r="P167" s="14"/>
      <c r="Q167" s="14"/>
      <c r="R167" s="14"/>
      <c r="S167" s="587"/>
      <c r="T167" s="588"/>
    </row>
    <row r="168" spans="1:256" ht="16.5" customHeight="1">
      <c r="A168" s="648" t="s">
        <v>513</v>
      </c>
      <c r="B168" s="648"/>
      <c r="C168" s="648"/>
      <c r="D168" s="648"/>
      <c r="E168" s="648"/>
      <c r="F168" s="648"/>
      <c r="G168" s="648"/>
      <c r="H168" s="648"/>
      <c r="I168" s="648"/>
      <c r="J168" s="648"/>
      <c r="K168" s="160" t="str">
        <f>T2</f>
        <v># 2</v>
      </c>
      <c r="L168" s="14"/>
      <c r="M168" s="14"/>
      <c r="N168" s="14"/>
      <c r="O168" s="14"/>
      <c r="P168" s="14"/>
      <c r="Q168" s="14"/>
      <c r="R168" s="14"/>
      <c r="S168" s="587"/>
      <c r="T168" s="58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0" ht="3" customHeight="1">
      <c r="A169" s="600"/>
      <c r="B169" s="234"/>
      <c r="C169" s="233"/>
      <c r="D169" s="233"/>
      <c r="E169" s="233"/>
      <c r="F169" s="233"/>
      <c r="G169" s="233"/>
      <c r="H169" s="233"/>
      <c r="I169" s="233"/>
      <c r="J169" s="233"/>
      <c r="K169" s="601">
        <v>1</v>
      </c>
      <c r="L169" s="601">
        <v>2</v>
      </c>
      <c r="M169" s="601">
        <v>3</v>
      </c>
      <c r="N169" s="601">
        <v>4</v>
      </c>
      <c r="O169" s="601">
        <v>5</v>
      </c>
      <c r="P169" s="601">
        <v>6</v>
      </c>
      <c r="Q169" s="601">
        <v>7</v>
      </c>
      <c r="R169" s="601">
        <v>8</v>
      </c>
      <c r="S169" s="601">
        <v>9</v>
      </c>
      <c r="T169" s="588"/>
    </row>
    <row r="170" spans="1:20" ht="16.5" customHeight="1">
      <c r="A170" s="608" t="s">
        <v>515</v>
      </c>
      <c r="B170" s="715" t="s">
        <v>177</v>
      </c>
      <c r="C170" s="715"/>
      <c r="D170" s="715"/>
      <c r="E170" s="715"/>
      <c r="F170" s="715"/>
      <c r="G170" s="715"/>
      <c r="H170" s="715"/>
      <c r="I170" s="715"/>
      <c r="J170" s="715"/>
      <c r="K170" s="14"/>
      <c r="L170" s="602" t="s">
        <v>496</v>
      </c>
      <c r="M170" s="602" t="s">
        <v>497</v>
      </c>
      <c r="N170" s="603" t="s">
        <v>456</v>
      </c>
      <c r="O170" s="219"/>
      <c r="P170" s="603" t="s">
        <v>457</v>
      </c>
      <c r="Q170" s="219"/>
      <c r="R170" s="219"/>
      <c r="S170" s="602" t="s">
        <v>177</v>
      </c>
      <c r="T170" s="588"/>
    </row>
    <row r="171" spans="1:20" ht="76.5" customHeight="1">
      <c r="A171" s="604" t="str">
        <f>R171</f>
        <v>Воспитатель </v>
      </c>
      <c r="B171" s="714" t="str">
        <f>S171</f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C171" s="714"/>
      <c r="D171" s="714"/>
      <c r="E171" s="714"/>
      <c r="F171" s="714"/>
      <c r="G171" s="714"/>
      <c r="H171" s="714"/>
      <c r="I171" s="714"/>
      <c r="J171" s="714"/>
      <c r="K171" s="468" t="str">
        <f>IF(долж_ОС="учитель","учитель",долж_ОС)</f>
        <v>воспитатель</v>
      </c>
      <c r="L171" s="460" t="str">
        <f>VLOOKUP($K$171,$K$172:$S$204,L169)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1" s="460" t="str">
        <f aca="true" t="shared" si="1" ref="M171:S171">VLOOKUP($B$38,$K$172:$S$204,M169)</f>
        <v> ---</v>
      </c>
      <c r="N171" s="490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1" s="605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</v>
      </c>
      <c r="P171" s="605">
        <f t="shared" si="1"/>
        <v>0</v>
      </c>
      <c r="Q171" s="460">
        <f t="shared" si="1"/>
        <v>0</v>
      </c>
      <c r="R171" s="460" t="str">
        <f t="shared" si="1"/>
        <v>Воспитатель </v>
      </c>
      <c r="S171" s="490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T171" s="588"/>
    </row>
    <row r="172" spans="1:20" ht="12" customHeight="1">
      <c r="A172" s="718" t="s">
        <v>592</v>
      </c>
      <c r="B172" s="718"/>
      <c r="C172" s="718"/>
      <c r="D172" s="718"/>
      <c r="E172" s="718"/>
      <c r="F172" s="718"/>
      <c r="G172" s="718"/>
      <c r="H172" s="718"/>
      <c r="I172" s="718"/>
      <c r="J172" s="718"/>
      <c r="K172" s="583"/>
      <c r="L172" s="584"/>
      <c r="M172" s="584"/>
      <c r="N172" s="585"/>
      <c r="O172" s="586"/>
      <c r="P172" s="586"/>
      <c r="Q172" s="14"/>
      <c r="R172" s="14"/>
      <c r="S172" s="451"/>
      <c r="T172" s="517"/>
    </row>
    <row r="173" spans="1:19" ht="15.75">
      <c r="A173" s="495"/>
      <c r="B173" s="233"/>
      <c r="C173" s="233"/>
      <c r="D173" s="233"/>
      <c r="E173" s="233"/>
      <c r="F173" s="233"/>
      <c r="G173" s="233"/>
      <c r="H173" s="233"/>
      <c r="I173" s="233"/>
      <c r="J173" s="233"/>
      <c r="K173" s="496" t="s">
        <v>117</v>
      </c>
      <c r="L173" s="440"/>
      <c r="M173" s="440"/>
      <c r="N173" s="384"/>
      <c r="O173" s="441"/>
      <c r="P173" s="441"/>
      <c r="Q173" s="14"/>
      <c r="R173" s="450"/>
      <c r="S173" s="442"/>
    </row>
    <row r="174" spans="1:19" ht="191.2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497" t="s">
        <v>119</v>
      </c>
      <c r="L174" s="440" t="s">
        <v>44</v>
      </c>
      <c r="M174" s="440" t="s">
        <v>525</v>
      </c>
      <c r="N174" s="384" t="s">
        <v>170</v>
      </c>
      <c r="O174" s="441" t="s">
        <v>521</v>
      </c>
      <c r="P174" s="441"/>
      <c r="Q174" s="14"/>
      <c r="R174" s="450" t="s">
        <v>586</v>
      </c>
      <c r="S174" s="442" t="s">
        <v>520</v>
      </c>
    </row>
    <row r="175" spans="1:19" ht="22.5">
      <c r="A175" s="500"/>
      <c r="B175" s="500"/>
      <c r="C175" s="500"/>
      <c r="D175" s="500"/>
      <c r="E175" s="500"/>
      <c r="F175" s="500"/>
      <c r="G175" s="500"/>
      <c r="H175" s="500"/>
      <c r="I175" s="500"/>
      <c r="J175" s="500"/>
      <c r="K175" s="496" t="s">
        <v>121</v>
      </c>
      <c r="L175" s="440"/>
      <c r="M175" s="440"/>
      <c r="N175" s="384"/>
      <c r="O175" s="441"/>
      <c r="P175" s="441"/>
      <c r="Q175" s="14"/>
      <c r="R175" s="450"/>
      <c r="S175" s="442"/>
    </row>
    <row r="176" spans="1:19" ht="22.5">
      <c r="A176" s="457"/>
      <c r="B176" s="458"/>
      <c r="C176" s="458"/>
      <c r="D176" s="458"/>
      <c r="E176" s="458"/>
      <c r="F176" s="458"/>
      <c r="G176" s="458"/>
      <c r="H176" s="458"/>
      <c r="I176" s="458"/>
      <c r="J176" s="460"/>
      <c r="K176" s="496" t="s">
        <v>123</v>
      </c>
      <c r="L176" s="440"/>
      <c r="M176" s="440"/>
      <c r="N176" s="384"/>
      <c r="O176" s="441"/>
      <c r="P176" s="441"/>
      <c r="Q176" s="14"/>
      <c r="R176" s="450"/>
      <c r="S176" s="442"/>
    </row>
    <row r="177" spans="1:19" ht="45">
      <c r="A177" s="457"/>
      <c r="B177" s="458"/>
      <c r="C177" s="458"/>
      <c r="D177" s="458"/>
      <c r="E177" s="458"/>
      <c r="F177" s="458"/>
      <c r="G177" s="458"/>
      <c r="H177" s="458"/>
      <c r="I177" s="458"/>
      <c r="J177" s="460"/>
      <c r="K177" s="496" t="s">
        <v>125</v>
      </c>
      <c r="L177" s="440"/>
      <c r="M177" s="440"/>
      <c r="N177" s="384"/>
      <c r="O177" s="441"/>
      <c r="P177" s="441"/>
      <c r="Q177" s="14"/>
      <c r="R177" s="450"/>
      <c r="S177" s="442"/>
    </row>
    <row r="178" spans="1:19" ht="33.75">
      <c r="A178" s="457"/>
      <c r="B178" s="458"/>
      <c r="C178" s="458"/>
      <c r="D178" s="458"/>
      <c r="E178" s="458"/>
      <c r="F178" s="458"/>
      <c r="G178" s="458"/>
      <c r="H178" s="458"/>
      <c r="I178" s="458"/>
      <c r="J178" s="460"/>
      <c r="K178" s="496" t="s">
        <v>127</v>
      </c>
      <c r="L178" s="440"/>
      <c r="M178" s="440"/>
      <c r="N178" s="384"/>
      <c r="O178" s="441"/>
      <c r="P178" s="441"/>
      <c r="Q178" s="14"/>
      <c r="R178" s="450"/>
      <c r="S178" s="442"/>
    </row>
    <row r="179" spans="1:19" ht="22.5">
      <c r="A179" s="457"/>
      <c r="B179" s="458"/>
      <c r="C179" s="458"/>
      <c r="D179" s="458"/>
      <c r="E179" s="458"/>
      <c r="F179" s="458"/>
      <c r="G179" s="458"/>
      <c r="H179" s="458"/>
      <c r="I179" s="458"/>
      <c r="J179" s="460"/>
      <c r="K179" s="496" t="s">
        <v>129</v>
      </c>
      <c r="L179" s="440"/>
      <c r="M179" s="440"/>
      <c r="N179" s="384"/>
      <c r="O179" s="441"/>
      <c r="P179" s="441"/>
      <c r="Q179" s="14"/>
      <c r="R179" s="450"/>
      <c r="S179" s="442"/>
    </row>
    <row r="180" spans="1:19" ht="14.25">
      <c r="A180" s="457"/>
      <c r="B180" s="458"/>
      <c r="C180" s="458"/>
      <c r="D180" s="458"/>
      <c r="E180" s="458"/>
      <c r="F180" s="458"/>
      <c r="G180" s="458"/>
      <c r="H180" s="458"/>
      <c r="I180" s="458"/>
      <c r="J180" s="460"/>
      <c r="K180" s="496" t="s">
        <v>131</v>
      </c>
      <c r="L180" s="440"/>
      <c r="M180" s="440"/>
      <c r="N180" s="384"/>
      <c r="O180" s="441"/>
      <c r="P180" s="441"/>
      <c r="Q180" s="14"/>
      <c r="R180" s="450"/>
      <c r="S180" s="442"/>
    </row>
    <row r="181" spans="1:19" ht="258.75" customHeight="1">
      <c r="A181" s="459"/>
      <c r="B181" s="459"/>
      <c r="C181" s="459"/>
      <c r="D181" s="459"/>
      <c r="E181" s="459"/>
      <c r="F181" s="459"/>
      <c r="G181" s="459"/>
      <c r="H181" s="459"/>
      <c r="I181" s="459"/>
      <c r="J181" s="460"/>
      <c r="K181" s="496" t="s">
        <v>133</v>
      </c>
      <c r="L181" s="440" t="s">
        <v>498</v>
      </c>
      <c r="M181" s="440" t="s">
        <v>499</v>
      </c>
      <c r="N181" s="384" t="s">
        <v>170</v>
      </c>
      <c r="O181" s="441" t="s">
        <v>500</v>
      </c>
      <c r="P181" s="441" t="s">
        <v>501</v>
      </c>
      <c r="Q181" s="14"/>
      <c r="R181" s="450"/>
      <c r="S181" s="442" t="s">
        <v>505</v>
      </c>
    </row>
    <row r="182" spans="1:19" ht="14.25">
      <c r="A182" s="457"/>
      <c r="B182" s="458"/>
      <c r="C182" s="458"/>
      <c r="D182" s="458"/>
      <c r="E182" s="458"/>
      <c r="F182" s="458"/>
      <c r="G182" s="458"/>
      <c r="H182" s="458"/>
      <c r="I182" s="458"/>
      <c r="J182" s="460"/>
      <c r="K182" s="496" t="s">
        <v>134</v>
      </c>
      <c r="L182" s="440"/>
      <c r="M182" s="440"/>
      <c r="N182" s="384"/>
      <c r="O182" s="441"/>
      <c r="P182" s="441"/>
      <c r="Q182" s="14"/>
      <c r="R182" s="450"/>
      <c r="S182" s="442"/>
    </row>
    <row r="183" spans="1:19" ht="45">
      <c r="A183" s="457"/>
      <c r="B183" s="458"/>
      <c r="C183" s="458"/>
      <c r="D183" s="458"/>
      <c r="E183" s="458"/>
      <c r="F183" s="458"/>
      <c r="G183" s="458"/>
      <c r="H183" s="458"/>
      <c r="I183" s="458"/>
      <c r="J183" s="460"/>
      <c r="K183" s="496" t="s">
        <v>136</v>
      </c>
      <c r="L183" s="440"/>
      <c r="M183" s="440"/>
      <c r="N183" s="384"/>
      <c r="O183" s="441"/>
      <c r="P183" s="441"/>
      <c r="Q183" s="14"/>
      <c r="R183" s="450"/>
      <c r="S183" s="442"/>
    </row>
    <row r="184" spans="1:19" ht="56.25">
      <c r="A184" s="457"/>
      <c r="B184" s="458"/>
      <c r="C184" s="458"/>
      <c r="D184" s="458"/>
      <c r="E184" s="458"/>
      <c r="F184" s="458"/>
      <c r="G184" s="458"/>
      <c r="H184" s="458"/>
      <c r="I184" s="458"/>
      <c r="J184" s="460"/>
      <c r="K184" s="496" t="s">
        <v>139</v>
      </c>
      <c r="L184" s="440"/>
      <c r="M184" s="440"/>
      <c r="N184" s="384"/>
      <c r="O184" s="441"/>
      <c r="P184" s="441"/>
      <c r="Q184" s="14"/>
      <c r="R184" s="450"/>
      <c r="S184" s="442"/>
    </row>
    <row r="185" spans="1:19" ht="33.75">
      <c r="A185" s="457"/>
      <c r="B185" s="458"/>
      <c r="C185" s="458"/>
      <c r="D185" s="458"/>
      <c r="E185" s="458"/>
      <c r="F185" s="458"/>
      <c r="G185" s="458"/>
      <c r="H185" s="458"/>
      <c r="I185" s="458"/>
      <c r="J185" s="460"/>
      <c r="K185" s="496" t="s">
        <v>329</v>
      </c>
      <c r="L185" s="440"/>
      <c r="M185" s="440"/>
      <c r="N185" s="384"/>
      <c r="O185" s="441"/>
      <c r="P185" s="441"/>
      <c r="Q185" s="14"/>
      <c r="R185" s="450"/>
      <c r="S185" s="442"/>
    </row>
    <row r="186" spans="1:256" ht="33.75">
      <c r="A186" s="457"/>
      <c r="B186" s="458"/>
      <c r="C186" s="458"/>
      <c r="D186" s="458"/>
      <c r="E186" s="458"/>
      <c r="F186" s="458"/>
      <c r="G186" s="458"/>
      <c r="H186" s="458"/>
      <c r="I186" s="458"/>
      <c r="J186" s="460"/>
      <c r="K186" s="496" t="s">
        <v>141</v>
      </c>
      <c r="L186" s="440"/>
      <c r="M186" s="440"/>
      <c r="N186" s="384"/>
      <c r="O186" s="441"/>
      <c r="P186" s="441"/>
      <c r="Q186" s="14"/>
      <c r="R186" s="450"/>
      <c r="S186" s="442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  <c r="DH186" s="167"/>
      <c r="DI186" s="167"/>
      <c r="DJ186" s="167"/>
      <c r="DK186" s="167"/>
      <c r="DL186" s="167"/>
      <c r="DM186" s="167"/>
      <c r="DN186" s="167"/>
      <c r="DO186" s="167"/>
      <c r="DP186" s="167"/>
      <c r="DQ186" s="167"/>
      <c r="DR186" s="167"/>
      <c r="DS186" s="167"/>
      <c r="DT186" s="167"/>
      <c r="DU186" s="167"/>
      <c r="DV186" s="167"/>
      <c r="DW186" s="167"/>
      <c r="DX186" s="167"/>
      <c r="DY186" s="167"/>
      <c r="DZ186" s="167"/>
      <c r="EA186" s="167"/>
      <c r="EB186" s="167"/>
      <c r="EC186" s="167"/>
      <c r="ED186" s="167"/>
      <c r="EE186" s="167"/>
      <c r="EF186" s="167"/>
      <c r="EG186" s="167"/>
      <c r="EH186" s="167"/>
      <c r="EI186" s="167"/>
      <c r="EJ186" s="167"/>
      <c r="EK186" s="167"/>
      <c r="EL186" s="167"/>
      <c r="EM186" s="167"/>
      <c r="EN186" s="167"/>
      <c r="EO186" s="167"/>
      <c r="EP186" s="167"/>
      <c r="EQ186" s="167"/>
      <c r="ER186" s="167"/>
      <c r="ES186" s="167"/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7"/>
      <c r="FF186" s="167"/>
      <c r="FG186" s="167"/>
      <c r="FH186" s="167"/>
      <c r="FI186" s="167"/>
      <c r="FJ186" s="167"/>
      <c r="FK186" s="167"/>
      <c r="FL186" s="167"/>
      <c r="FM186" s="167"/>
      <c r="FN186" s="167"/>
      <c r="FO186" s="167"/>
      <c r="FP186" s="167"/>
      <c r="FQ186" s="167"/>
      <c r="FR186" s="167"/>
      <c r="FS186" s="167"/>
      <c r="FT186" s="167"/>
      <c r="FU186" s="167"/>
      <c r="FV186" s="167"/>
      <c r="FW186" s="167"/>
      <c r="FX186" s="167"/>
      <c r="FY186" s="167"/>
      <c r="FZ186" s="167"/>
      <c r="GA186" s="167"/>
      <c r="GB186" s="167"/>
      <c r="GC186" s="167"/>
      <c r="GD186" s="167"/>
      <c r="GE186" s="167"/>
      <c r="GF186" s="167"/>
      <c r="GG186" s="167"/>
      <c r="GH186" s="167"/>
      <c r="GI186" s="167"/>
      <c r="GJ186" s="167"/>
      <c r="GK186" s="167"/>
      <c r="GL186" s="167"/>
      <c r="GM186" s="167"/>
      <c r="GN186" s="167"/>
      <c r="GO186" s="167"/>
      <c r="GP186" s="167"/>
      <c r="GQ186" s="167"/>
      <c r="GR186" s="167"/>
      <c r="GS186" s="167"/>
      <c r="GT186" s="167"/>
      <c r="GU186" s="167"/>
      <c r="GV186" s="167"/>
      <c r="GW186" s="167"/>
      <c r="GX186" s="167"/>
      <c r="GY186" s="167"/>
      <c r="GZ186" s="167"/>
      <c r="HA186" s="167"/>
      <c r="HB186" s="167"/>
      <c r="HC186" s="167"/>
      <c r="HD186" s="167"/>
      <c r="HE186" s="167"/>
      <c r="HF186" s="167"/>
      <c r="HG186" s="167"/>
      <c r="HH186" s="167"/>
      <c r="HI186" s="167"/>
      <c r="HJ186" s="167"/>
      <c r="HK186" s="167"/>
      <c r="HL186" s="167"/>
      <c r="HM186" s="167"/>
      <c r="HN186" s="167"/>
      <c r="HO186" s="167"/>
      <c r="HP186" s="167"/>
      <c r="HQ186" s="167"/>
      <c r="HR186" s="167"/>
      <c r="HS186" s="167"/>
      <c r="HT186" s="167"/>
      <c r="HU186" s="167"/>
      <c r="HV186" s="167"/>
      <c r="HW186" s="167"/>
      <c r="HX186" s="167"/>
      <c r="HY186" s="167"/>
      <c r="HZ186" s="167"/>
      <c r="IA186" s="167"/>
      <c r="IB186" s="167"/>
      <c r="IC186" s="167"/>
      <c r="ID186" s="167"/>
      <c r="IE186" s="167"/>
      <c r="IF186" s="167"/>
      <c r="IG186" s="167"/>
      <c r="IH186" s="167"/>
      <c r="II186" s="167"/>
      <c r="IJ186" s="167"/>
      <c r="IK186" s="167"/>
      <c r="IL186" s="167"/>
      <c r="IM186" s="167"/>
      <c r="IN186" s="167"/>
      <c r="IO186" s="167"/>
      <c r="IP186" s="167"/>
      <c r="IQ186" s="167"/>
      <c r="IR186" s="167"/>
      <c r="IS186" s="167"/>
      <c r="IT186" s="167"/>
      <c r="IU186" s="167"/>
      <c r="IV186" s="167"/>
    </row>
    <row r="187" spans="1:19" ht="22.5">
      <c r="A187" s="457"/>
      <c r="B187" s="458"/>
      <c r="C187" s="458"/>
      <c r="D187" s="458"/>
      <c r="E187" s="458"/>
      <c r="F187" s="458"/>
      <c r="G187" s="458"/>
      <c r="H187" s="460"/>
      <c r="I187" s="460"/>
      <c r="J187" s="460"/>
      <c r="K187" s="496" t="s">
        <v>143</v>
      </c>
      <c r="L187" s="440"/>
      <c r="M187" s="440"/>
      <c r="N187" s="384"/>
      <c r="O187" s="441"/>
      <c r="P187" s="441"/>
      <c r="Q187" s="14"/>
      <c r="R187" s="450"/>
      <c r="S187" s="442"/>
    </row>
    <row r="188" spans="1:19" ht="247.5">
      <c r="A188" s="457"/>
      <c r="B188" s="458"/>
      <c r="C188" s="458"/>
      <c r="D188" s="458"/>
      <c r="E188" s="458"/>
      <c r="F188" s="458"/>
      <c r="G188" s="458"/>
      <c r="H188" s="460"/>
      <c r="I188" s="460"/>
      <c r="J188" s="460"/>
      <c r="K188" s="496" t="s">
        <v>145</v>
      </c>
      <c r="L188" s="440" t="s">
        <v>44</v>
      </c>
      <c r="M188" s="440" t="s">
        <v>46</v>
      </c>
      <c r="N188" s="384" t="s">
        <v>170</v>
      </c>
      <c r="O188" s="441" t="s">
        <v>503</v>
      </c>
      <c r="P188" s="441"/>
      <c r="Q188" s="14"/>
      <c r="R188" s="450" t="s">
        <v>502</v>
      </c>
      <c r="S188" s="442" t="s">
        <v>504</v>
      </c>
    </row>
    <row r="189" spans="1:19" ht="45">
      <c r="A189" s="457"/>
      <c r="B189" s="458"/>
      <c r="C189" s="458"/>
      <c r="D189" s="458"/>
      <c r="E189" s="458"/>
      <c r="F189" s="458"/>
      <c r="G189" s="458"/>
      <c r="H189" s="460"/>
      <c r="I189" s="460"/>
      <c r="J189" s="460"/>
      <c r="K189" s="496" t="s">
        <v>511</v>
      </c>
      <c r="L189" s="440"/>
      <c r="M189" s="440"/>
      <c r="N189" s="384"/>
      <c r="O189" s="441"/>
      <c r="P189" s="441"/>
      <c r="Q189" s="14"/>
      <c r="R189" s="450"/>
      <c r="S189" s="442"/>
    </row>
    <row r="190" spans="1:19" ht="67.5">
      <c r="A190" s="457"/>
      <c r="B190" s="458"/>
      <c r="C190" s="458"/>
      <c r="D190" s="458"/>
      <c r="E190" s="458"/>
      <c r="F190" s="458"/>
      <c r="G190" s="458"/>
      <c r="H190" s="460"/>
      <c r="I190" s="460"/>
      <c r="J190" s="460"/>
      <c r="K190" s="496" t="s">
        <v>327</v>
      </c>
      <c r="L190" s="440"/>
      <c r="M190" s="440"/>
      <c r="N190" s="384"/>
      <c r="O190" s="441"/>
      <c r="P190" s="441"/>
      <c r="Q190" s="14"/>
      <c r="R190" s="450"/>
      <c r="S190" s="442"/>
    </row>
    <row r="191" spans="1:19" ht="22.5">
      <c r="A191" s="457"/>
      <c r="B191" s="458"/>
      <c r="C191" s="458"/>
      <c r="D191" s="458"/>
      <c r="E191" s="458"/>
      <c r="F191" s="458"/>
      <c r="G191" s="458"/>
      <c r="H191" s="460"/>
      <c r="I191" s="460"/>
      <c r="J191" s="460"/>
      <c r="K191" s="496" t="s">
        <v>148</v>
      </c>
      <c r="L191" s="440"/>
      <c r="M191" s="440"/>
      <c r="N191" s="384"/>
      <c r="O191" s="441"/>
      <c r="P191" s="441"/>
      <c r="Q191" s="14"/>
      <c r="R191" s="450"/>
      <c r="S191" s="442"/>
    </row>
    <row r="192" spans="1:19" ht="22.5">
      <c r="A192" s="457"/>
      <c r="B192" s="458"/>
      <c r="C192" s="458"/>
      <c r="D192" s="458"/>
      <c r="E192" s="458"/>
      <c r="F192" s="458"/>
      <c r="G192" s="458"/>
      <c r="H192" s="460"/>
      <c r="I192" s="460"/>
      <c r="J192" s="460"/>
      <c r="K192" s="496" t="s">
        <v>150</v>
      </c>
      <c r="L192" s="440"/>
      <c r="M192" s="440"/>
      <c r="N192" s="384"/>
      <c r="O192" s="441"/>
      <c r="P192" s="441"/>
      <c r="Q192" s="14"/>
      <c r="R192" s="450"/>
      <c r="S192" s="442"/>
    </row>
    <row r="193" spans="1:19" ht="33.75">
      <c r="A193" s="457"/>
      <c r="B193" s="458"/>
      <c r="C193" s="458"/>
      <c r="D193" s="458"/>
      <c r="E193" s="458"/>
      <c r="F193" s="458"/>
      <c r="G193" s="458"/>
      <c r="H193" s="460"/>
      <c r="I193" s="460"/>
      <c r="J193" s="460"/>
      <c r="K193" s="496" t="s">
        <v>152</v>
      </c>
      <c r="L193" s="440"/>
      <c r="M193" s="440"/>
      <c r="N193" s="384"/>
      <c r="O193" s="441"/>
      <c r="P193" s="441"/>
      <c r="Q193" s="14"/>
      <c r="R193" s="450"/>
      <c r="S193" s="442"/>
    </row>
    <row r="194" spans="1:19" ht="45">
      <c r="A194" s="457"/>
      <c r="B194" s="458"/>
      <c r="C194" s="458"/>
      <c r="D194" s="458"/>
      <c r="E194" s="458"/>
      <c r="F194" s="458"/>
      <c r="G194" s="458"/>
      <c r="H194" s="460"/>
      <c r="I194" s="460"/>
      <c r="J194" s="460"/>
      <c r="K194" s="496" t="s">
        <v>331</v>
      </c>
      <c r="L194" s="440"/>
      <c r="M194" s="440"/>
      <c r="N194" s="384"/>
      <c r="O194" s="441"/>
      <c r="P194" s="441"/>
      <c r="Q194" s="14"/>
      <c r="R194" s="450"/>
      <c r="S194" s="442"/>
    </row>
    <row r="195" spans="1:19" ht="22.5">
      <c r="A195" s="457"/>
      <c r="B195" s="458"/>
      <c r="C195" s="458"/>
      <c r="D195" s="458"/>
      <c r="E195" s="458"/>
      <c r="F195" s="458"/>
      <c r="G195" s="458"/>
      <c r="H195" s="460"/>
      <c r="I195" s="460"/>
      <c r="J195" s="460"/>
      <c r="K195" s="496" t="s">
        <v>322</v>
      </c>
      <c r="L195" s="440"/>
      <c r="M195" s="440"/>
      <c r="N195" s="384"/>
      <c r="O195" s="441"/>
      <c r="P195" s="441"/>
      <c r="Q195" s="14"/>
      <c r="R195" s="450"/>
      <c r="S195" s="442"/>
    </row>
    <row r="196" spans="1:19" ht="67.5">
      <c r="A196" s="457"/>
      <c r="B196" s="458"/>
      <c r="C196" s="458"/>
      <c r="D196" s="458"/>
      <c r="E196" s="458"/>
      <c r="F196" s="458"/>
      <c r="G196" s="458"/>
      <c r="H196" s="460"/>
      <c r="I196" s="460"/>
      <c r="J196" s="460"/>
      <c r="K196" s="496" t="s">
        <v>324</v>
      </c>
      <c r="L196" s="440"/>
      <c r="M196" s="440"/>
      <c r="N196" s="384"/>
      <c r="O196" s="441"/>
      <c r="P196" s="441"/>
      <c r="Q196" s="14"/>
      <c r="R196" s="450"/>
      <c r="S196" s="442"/>
    </row>
    <row r="197" spans="1:19" ht="45">
      <c r="A197" s="457"/>
      <c r="B197" s="458"/>
      <c r="C197" s="458"/>
      <c r="D197" s="458"/>
      <c r="E197" s="458"/>
      <c r="F197" s="458"/>
      <c r="G197" s="458"/>
      <c r="H197" s="460"/>
      <c r="I197" s="460"/>
      <c r="J197" s="460"/>
      <c r="K197" s="496" t="s">
        <v>321</v>
      </c>
      <c r="L197" s="440"/>
      <c r="M197" s="440"/>
      <c r="N197" s="384"/>
      <c r="O197" s="441"/>
      <c r="P197" s="441"/>
      <c r="Q197" s="14"/>
      <c r="R197" s="450"/>
      <c r="S197" s="442"/>
    </row>
    <row r="198" spans="1:19" ht="14.25">
      <c r="A198" s="457"/>
      <c r="B198" s="458"/>
      <c r="C198" s="458"/>
      <c r="D198" s="458"/>
      <c r="E198" s="458"/>
      <c r="F198" s="458"/>
      <c r="G198" s="458"/>
      <c r="H198" s="460"/>
      <c r="I198" s="460"/>
      <c r="J198" s="460"/>
      <c r="K198" s="496" t="s">
        <v>154</v>
      </c>
      <c r="L198" s="440"/>
      <c r="M198" s="440"/>
      <c r="N198" s="384"/>
      <c r="O198" s="441"/>
      <c r="P198" s="441"/>
      <c r="Q198" s="14"/>
      <c r="R198" s="450"/>
      <c r="S198" s="442"/>
    </row>
    <row r="199" spans="1:19" ht="33.75">
      <c r="A199" s="457"/>
      <c r="B199" s="458"/>
      <c r="C199" s="458"/>
      <c r="D199" s="458"/>
      <c r="E199" s="458"/>
      <c r="F199" s="458"/>
      <c r="G199" s="458"/>
      <c r="H199" s="460"/>
      <c r="I199" s="460"/>
      <c r="J199" s="460"/>
      <c r="K199" s="496" t="s">
        <v>156</v>
      </c>
      <c r="L199" s="440"/>
      <c r="M199" s="440"/>
      <c r="N199" s="384"/>
      <c r="O199" s="441"/>
      <c r="P199" s="441"/>
      <c r="Q199" s="14"/>
      <c r="R199" s="450"/>
      <c r="S199" s="442"/>
    </row>
    <row r="200" spans="1:19" ht="14.25">
      <c r="A200" s="457"/>
      <c r="B200" s="458"/>
      <c r="C200" s="458"/>
      <c r="D200" s="458"/>
      <c r="E200" s="458"/>
      <c r="F200" s="458"/>
      <c r="G200" s="458"/>
      <c r="H200" s="460"/>
      <c r="I200" s="460"/>
      <c r="J200" s="460"/>
      <c r="K200" s="496" t="s">
        <v>333</v>
      </c>
      <c r="L200" s="440"/>
      <c r="M200" s="440"/>
      <c r="N200" s="384"/>
      <c r="O200" s="441"/>
      <c r="P200" s="441"/>
      <c r="Q200" s="14"/>
      <c r="R200" s="450"/>
      <c r="S200" s="442"/>
    </row>
    <row r="201" spans="1:19" ht="247.5" customHeight="1">
      <c r="A201" s="14"/>
      <c r="B201" s="14"/>
      <c r="C201" s="458"/>
      <c r="D201" s="458"/>
      <c r="E201" s="458"/>
      <c r="F201" s="458"/>
      <c r="G201" s="458"/>
      <c r="H201" s="460"/>
      <c r="I201" s="460"/>
      <c r="J201" s="460"/>
      <c r="K201" s="498" t="str">
        <f>IF(долж_ОС="учитель","учитель","преподаватель")</f>
        <v>преподаватель</v>
      </c>
      <c r="L201" s="440" t="s">
        <v>44</v>
      </c>
      <c r="M201" s="440" t="s">
        <v>46</v>
      </c>
      <c r="N201" s="384" t="s">
        <v>170</v>
      </c>
      <c r="O201" s="441" t="s">
        <v>503</v>
      </c>
      <c r="P201" s="441"/>
      <c r="Q201" s="14"/>
      <c r="R201" s="450" t="s">
        <v>502</v>
      </c>
      <c r="S201" s="442" t="s">
        <v>504</v>
      </c>
    </row>
    <row r="202" spans="1:19" ht="33.75">
      <c r="A202" s="457"/>
      <c r="B202" s="458"/>
      <c r="C202" s="458"/>
      <c r="D202" s="458"/>
      <c r="E202" s="458"/>
      <c r="F202" s="458"/>
      <c r="G202" s="458"/>
      <c r="H202" s="460"/>
      <c r="I202" s="460"/>
      <c r="J202" s="460"/>
      <c r="K202" s="496" t="s">
        <v>158</v>
      </c>
      <c r="L202" s="440"/>
      <c r="M202" s="440"/>
      <c r="N202" s="384"/>
      <c r="O202" s="384"/>
      <c r="P202" s="441"/>
      <c r="Q202" s="14"/>
      <c r="R202" s="14"/>
      <c r="S202" s="451"/>
    </row>
    <row r="203" spans="1:19" ht="22.5">
      <c r="A203" s="457"/>
      <c r="B203" s="458"/>
      <c r="C203" s="458"/>
      <c r="D203" s="458"/>
      <c r="E203" s="458"/>
      <c r="F203" s="458"/>
      <c r="G203" s="458"/>
      <c r="H203" s="460"/>
      <c r="I203" s="460"/>
      <c r="J203" s="460"/>
      <c r="K203" s="496" t="s">
        <v>160</v>
      </c>
      <c r="L203" s="440"/>
      <c r="M203" s="440"/>
      <c r="N203" s="384"/>
      <c r="O203" s="384"/>
      <c r="P203" s="441"/>
      <c r="Q203" s="14"/>
      <c r="R203" s="14"/>
      <c r="S203" s="451"/>
    </row>
    <row r="204" spans="1:19" ht="23.25" thickBot="1">
      <c r="A204" s="457"/>
      <c r="B204" s="458"/>
      <c r="C204" s="458"/>
      <c r="D204" s="458"/>
      <c r="E204" s="458"/>
      <c r="F204" s="458"/>
      <c r="G204" s="458"/>
      <c r="H204" s="460"/>
      <c r="I204" s="460"/>
      <c r="J204" s="460"/>
      <c r="K204" s="499" t="s">
        <v>325</v>
      </c>
      <c r="L204" s="452"/>
      <c r="M204" s="452"/>
      <c r="N204" s="453"/>
      <c r="O204" s="453"/>
      <c r="P204" s="454"/>
      <c r="Q204" s="456"/>
      <c r="R204" s="456"/>
      <c r="S204" s="455"/>
    </row>
    <row r="205" spans="1:14" ht="13.5" thickTop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M205" s="5"/>
      <c r="N205" s="5"/>
    </row>
    <row r="206" spans="1:14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M206" s="5"/>
      <c r="N206" s="5"/>
    </row>
    <row r="207" spans="1:14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M207" s="5"/>
      <c r="N207" s="5"/>
    </row>
    <row r="208" spans="1:14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M208" s="5"/>
      <c r="N208" s="5"/>
    </row>
    <row r="209" spans="1:256" s="167" customFormat="1" ht="15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70"/>
      <c r="L209" s="2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14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M210" s="5"/>
      <c r="N210" s="5"/>
    </row>
    <row r="211" spans="1:14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M211" s="5"/>
      <c r="N211" s="5"/>
    </row>
    <row r="212" spans="1:14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M212" s="5"/>
      <c r="N212" s="5"/>
    </row>
    <row r="213" spans="1:14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M213" s="5"/>
      <c r="N213" s="5"/>
    </row>
    <row r="214" spans="1:14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M214" s="5"/>
      <c r="N214" s="5"/>
    </row>
    <row r="215" spans="1:14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M215" s="5"/>
      <c r="N215" s="5"/>
    </row>
    <row r="216" spans="1:14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M216" s="5"/>
      <c r="N216" s="5"/>
    </row>
    <row r="217" spans="1:14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M217" s="5"/>
      <c r="N217" s="5"/>
    </row>
    <row r="218" spans="1:14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M218" s="5"/>
      <c r="N218" s="5"/>
    </row>
    <row r="219" spans="1:14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M219" s="5"/>
      <c r="N219" s="5"/>
    </row>
    <row r="220" spans="1:14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M220" s="5"/>
      <c r="N220" s="5"/>
    </row>
    <row r="221" spans="1:14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M221" s="5"/>
      <c r="N221" s="5"/>
    </row>
    <row r="222" spans="1:14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M222" s="5"/>
      <c r="N222" s="5"/>
    </row>
    <row r="223" spans="1:14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M223" s="5"/>
      <c r="N223" s="5"/>
    </row>
    <row r="224" spans="1:256" ht="15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  <c r="BX224" s="167"/>
      <c r="BY224" s="167"/>
      <c r="BZ224" s="167"/>
      <c r="CA224" s="167"/>
      <c r="CB224" s="167"/>
      <c r="CC224" s="167"/>
      <c r="CD224" s="167"/>
      <c r="CE224" s="167"/>
      <c r="CF224" s="167"/>
      <c r="CG224" s="167"/>
      <c r="CH224" s="167"/>
      <c r="CI224" s="167"/>
      <c r="CJ224" s="167"/>
      <c r="CK224" s="167"/>
      <c r="CL224" s="167"/>
      <c r="CM224" s="167"/>
      <c r="CN224" s="167"/>
      <c r="CO224" s="167"/>
      <c r="CP224" s="167"/>
      <c r="CQ224" s="167"/>
      <c r="CR224" s="167"/>
      <c r="CS224" s="167"/>
      <c r="CT224" s="167"/>
      <c r="CU224" s="167"/>
      <c r="CV224" s="167"/>
      <c r="CW224" s="167"/>
      <c r="CX224" s="167"/>
      <c r="CY224" s="167"/>
      <c r="CZ224" s="167"/>
      <c r="DA224" s="167"/>
      <c r="DB224" s="167"/>
      <c r="DC224" s="167"/>
      <c r="DD224" s="167"/>
      <c r="DE224" s="167"/>
      <c r="DF224" s="167"/>
      <c r="DG224" s="167"/>
      <c r="DH224" s="167"/>
      <c r="DI224" s="167"/>
      <c r="DJ224" s="167"/>
      <c r="DK224" s="167"/>
      <c r="DL224" s="167"/>
      <c r="DM224" s="167"/>
      <c r="DN224" s="167"/>
      <c r="DO224" s="167"/>
      <c r="DP224" s="167"/>
      <c r="DQ224" s="167"/>
      <c r="DR224" s="167"/>
      <c r="DS224" s="167"/>
      <c r="DT224" s="167"/>
      <c r="DU224" s="167"/>
      <c r="DV224" s="167"/>
      <c r="DW224" s="167"/>
      <c r="DX224" s="167"/>
      <c r="DY224" s="167"/>
      <c r="DZ224" s="167"/>
      <c r="EA224" s="167"/>
      <c r="EB224" s="167"/>
      <c r="EC224" s="167"/>
      <c r="ED224" s="167"/>
      <c r="EE224" s="167"/>
      <c r="EF224" s="167"/>
      <c r="EG224" s="167"/>
      <c r="EH224" s="167"/>
      <c r="EI224" s="167"/>
      <c r="EJ224" s="167"/>
      <c r="EK224" s="167"/>
      <c r="EL224" s="167"/>
      <c r="EM224" s="167"/>
      <c r="EN224" s="167"/>
      <c r="EO224" s="167"/>
      <c r="EP224" s="167"/>
      <c r="EQ224" s="167"/>
      <c r="ER224" s="167"/>
      <c r="ES224" s="167"/>
      <c r="ET224" s="167"/>
      <c r="EU224" s="167"/>
      <c r="EV224" s="167"/>
      <c r="EW224" s="167"/>
      <c r="EX224" s="167"/>
      <c r="EY224" s="167"/>
      <c r="EZ224" s="167"/>
      <c r="FA224" s="167"/>
      <c r="FB224" s="167"/>
      <c r="FC224" s="167"/>
      <c r="FD224" s="167"/>
      <c r="FE224" s="167"/>
      <c r="FF224" s="167"/>
      <c r="FG224" s="167"/>
      <c r="FH224" s="167"/>
      <c r="FI224" s="167"/>
      <c r="FJ224" s="167"/>
      <c r="FK224" s="167"/>
      <c r="FL224" s="167"/>
      <c r="FM224" s="167"/>
      <c r="FN224" s="167"/>
      <c r="FO224" s="167"/>
      <c r="FP224" s="167"/>
      <c r="FQ224" s="167"/>
      <c r="FR224" s="167"/>
      <c r="FS224" s="167"/>
      <c r="FT224" s="167"/>
      <c r="FU224" s="167"/>
      <c r="FV224" s="167"/>
      <c r="FW224" s="167"/>
      <c r="FX224" s="167"/>
      <c r="FY224" s="167"/>
      <c r="FZ224" s="167"/>
      <c r="GA224" s="167"/>
      <c r="GB224" s="167"/>
      <c r="GC224" s="167"/>
      <c r="GD224" s="167"/>
      <c r="GE224" s="167"/>
      <c r="GF224" s="167"/>
      <c r="GG224" s="167"/>
      <c r="GH224" s="167"/>
      <c r="GI224" s="167"/>
      <c r="GJ224" s="167"/>
      <c r="GK224" s="167"/>
      <c r="GL224" s="167"/>
      <c r="GM224" s="167"/>
      <c r="GN224" s="167"/>
      <c r="GO224" s="167"/>
      <c r="GP224" s="167"/>
      <c r="GQ224" s="167"/>
      <c r="GR224" s="167"/>
      <c r="GS224" s="167"/>
      <c r="GT224" s="167"/>
      <c r="GU224" s="167"/>
      <c r="GV224" s="167"/>
      <c r="GW224" s="167"/>
      <c r="GX224" s="167"/>
      <c r="GY224" s="167"/>
      <c r="GZ224" s="167"/>
      <c r="HA224" s="167"/>
      <c r="HB224" s="167"/>
      <c r="HC224" s="167"/>
      <c r="HD224" s="167"/>
      <c r="HE224" s="167"/>
      <c r="HF224" s="167"/>
      <c r="HG224" s="167"/>
      <c r="HH224" s="167"/>
      <c r="HI224" s="167"/>
      <c r="HJ224" s="167"/>
      <c r="HK224" s="167"/>
      <c r="HL224" s="167"/>
      <c r="HM224" s="167"/>
      <c r="HN224" s="167"/>
      <c r="HO224" s="167"/>
      <c r="HP224" s="167"/>
      <c r="HQ224" s="167"/>
      <c r="HR224" s="167"/>
      <c r="HS224" s="167"/>
      <c r="HT224" s="167"/>
      <c r="HU224" s="167"/>
      <c r="HV224" s="167"/>
      <c r="HW224" s="167"/>
      <c r="HX224" s="167"/>
      <c r="HY224" s="167"/>
      <c r="HZ224" s="167"/>
      <c r="IA224" s="167"/>
      <c r="IB224" s="167"/>
      <c r="IC224" s="167"/>
      <c r="ID224" s="167"/>
      <c r="IE224" s="167"/>
      <c r="IF224" s="167"/>
      <c r="IG224" s="167"/>
      <c r="IH224" s="167"/>
      <c r="II224" s="167"/>
      <c r="IJ224" s="167"/>
      <c r="IK224" s="167"/>
      <c r="IL224" s="167"/>
      <c r="IM224" s="167"/>
      <c r="IN224" s="167"/>
      <c r="IO224" s="167"/>
      <c r="IP224" s="167"/>
      <c r="IQ224" s="167"/>
      <c r="IR224" s="167"/>
      <c r="IS224" s="167"/>
      <c r="IT224" s="167"/>
      <c r="IU224" s="167"/>
      <c r="IV224" s="167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</sheetData>
  <sheetProtection password="CF7C" sheet="1" objects="1" scenarios="1"/>
  <mergeCells count="91">
    <mergeCell ref="B50:E50"/>
    <mergeCell ref="A172:J172"/>
    <mergeCell ref="A152:J152"/>
    <mergeCell ref="A66:I66"/>
    <mergeCell ref="B72:J74"/>
    <mergeCell ref="A53:A54"/>
    <mergeCell ref="A101:J101"/>
    <mergeCell ref="B57:J58"/>
    <mergeCell ref="B59:D59"/>
    <mergeCell ref="A61:A62"/>
    <mergeCell ref="L153:M153"/>
    <mergeCell ref="D89:J89"/>
    <mergeCell ref="B171:J171"/>
    <mergeCell ref="B170:J170"/>
    <mergeCell ref="A153:J153"/>
    <mergeCell ref="A167:J167"/>
    <mergeCell ref="M158:M160"/>
    <mergeCell ref="C113:I113"/>
    <mergeCell ref="C115:I115"/>
    <mergeCell ref="C116:H116"/>
    <mergeCell ref="B61:J62"/>
    <mergeCell ref="B40:H40"/>
    <mergeCell ref="N158:N160"/>
    <mergeCell ref="G103:H103"/>
    <mergeCell ref="A70:C70"/>
    <mergeCell ref="B63:D63"/>
    <mergeCell ref="A44:C44"/>
    <mergeCell ref="A57:A58"/>
    <mergeCell ref="A90:I90"/>
    <mergeCell ref="A77:E77"/>
    <mergeCell ref="F48:H48"/>
    <mergeCell ref="I38:J38"/>
    <mergeCell ref="B24:I24"/>
    <mergeCell ref="A18:H18"/>
    <mergeCell ref="H5:J7"/>
    <mergeCell ref="H8:J12"/>
    <mergeCell ref="B34:I34"/>
    <mergeCell ref="A28:I28"/>
    <mergeCell ref="B38:H38"/>
    <mergeCell ref="B39:H39"/>
    <mergeCell ref="H4:J4"/>
    <mergeCell ref="E22:J22"/>
    <mergeCell ref="A1:J2"/>
    <mergeCell ref="A3:J3"/>
    <mergeCell ref="B4:C4"/>
    <mergeCell ref="G32:I32"/>
    <mergeCell ref="A46:C46"/>
    <mergeCell ref="A30:B30"/>
    <mergeCell ref="C30:I30"/>
    <mergeCell ref="I39:J39"/>
    <mergeCell ref="B36:I36"/>
    <mergeCell ref="C42:I42"/>
    <mergeCell ref="C32:E32"/>
    <mergeCell ref="B35:I35"/>
    <mergeCell ref="A126:J126"/>
    <mergeCell ref="A155:J156"/>
    <mergeCell ref="A128:J129"/>
    <mergeCell ref="A154:J154"/>
    <mergeCell ref="A125:J125"/>
    <mergeCell ref="G79:H79"/>
    <mergeCell ref="A80:F80"/>
    <mergeCell ref="A168:J168"/>
    <mergeCell ref="A32:B32"/>
    <mergeCell ref="K155:K156"/>
    <mergeCell ref="A158:J161"/>
    <mergeCell ref="A147:J147"/>
    <mergeCell ref="A150:J150"/>
    <mergeCell ref="A98:J98"/>
    <mergeCell ref="A99:J99"/>
    <mergeCell ref="G80:H80"/>
    <mergeCell ref="G82:H82"/>
    <mergeCell ref="A164:I164"/>
    <mergeCell ref="A105:I105"/>
    <mergeCell ref="C109:I109"/>
    <mergeCell ref="A110:A111"/>
    <mergeCell ref="C110:H110"/>
    <mergeCell ref="C114:H114"/>
    <mergeCell ref="A123:J124"/>
    <mergeCell ref="C111:I111"/>
    <mergeCell ref="C112:H112"/>
    <mergeCell ref="A120:I120"/>
    <mergeCell ref="L158:L160"/>
    <mergeCell ref="H13:J17"/>
    <mergeCell ref="A162:J162"/>
    <mergeCell ref="K162:K163"/>
    <mergeCell ref="G83:H83"/>
    <mergeCell ref="A87:J88"/>
    <mergeCell ref="A92:H94"/>
    <mergeCell ref="A95:H96"/>
    <mergeCell ref="B53:J54"/>
    <mergeCell ref="B55:D55"/>
  </mergeCells>
  <conditionalFormatting sqref="I38">
    <cfRule type="expression" priority="41" dxfId="28" stopIfTrue="1">
      <formula>$I$38&lt;&gt;""</formula>
    </cfRule>
  </conditionalFormatting>
  <conditionalFormatting sqref="A128 A1">
    <cfRule type="cellIs" priority="38" dxfId="29" operator="equal" stopIfTrue="1">
      <formula>"Все данные введены. Перейдите на лист ЭЗ"</formula>
    </cfRule>
  </conditionalFormatting>
  <conditionalFormatting sqref="B115:I116">
    <cfRule type="expression" priority="39" dxfId="30" stopIfTrue="1">
      <formula>$F$107&lt;3</formula>
    </cfRule>
  </conditionalFormatting>
  <conditionalFormatting sqref="B113:B114 I113:I114 C113:H113">
    <cfRule type="expression" priority="40" dxfId="30" stopIfTrue="1">
      <formula>$F$107&lt;2</formula>
    </cfRule>
  </conditionalFormatting>
  <conditionalFormatting sqref="A123">
    <cfRule type="containsText" priority="37" dxfId="31" operator="containsText" stopIfTrue="1" text="НЕ СООТВ">
      <formula>NOT(ISERROR(SEARCH("НЕ СООТВ",A123)))</formula>
    </cfRule>
  </conditionalFormatting>
  <conditionalFormatting sqref="I83">
    <cfRule type="expression" priority="30" dxfId="30" stopIfTrue="1">
      <formula>$G$83="нет"</formula>
    </cfRule>
  </conditionalFormatting>
  <conditionalFormatting sqref="K75 J83">
    <cfRule type="expression" priority="32" dxfId="32" stopIfTrue="1">
      <formula>$G$83="нет"</formula>
    </cfRule>
  </conditionalFormatting>
  <conditionalFormatting sqref="H77">
    <cfRule type="expression" priority="34" dxfId="33" stopIfTrue="1">
      <formula>$G$77&gt;0</formula>
    </cfRule>
  </conditionalFormatting>
  <conditionalFormatting sqref="I39">
    <cfRule type="expression" priority="29" dxfId="28" stopIfTrue="1">
      <formula>$I$40&lt;&gt;""</formula>
    </cfRule>
  </conditionalFormatting>
  <conditionalFormatting sqref="B39">
    <cfRule type="expression" priority="28" dxfId="34" stopIfTrue="1">
      <formula>"$A$23=""-"""</formula>
    </cfRule>
  </conditionalFormatting>
  <conditionalFormatting sqref="E4:F16">
    <cfRule type="cellIs" priority="42" dxfId="35" operator="equal" stopIfTrue="1">
      <formula>0</formula>
    </cfRule>
  </conditionalFormatting>
  <conditionalFormatting sqref="I48:J48 E48:F48">
    <cfRule type="expression" priority="43" dxfId="30" stopIfTrue="1">
      <formula>$D$46&lt;&gt;"нет"</formula>
    </cfRule>
  </conditionalFormatting>
  <conditionalFormatting sqref="C114:H114">
    <cfRule type="expression" priority="44" dxfId="36" stopIfTrue="1">
      <formula>$F$107&lt;2</formula>
    </cfRule>
  </conditionalFormatting>
  <conditionalFormatting sqref="C23">
    <cfRule type="expression" priority="62" dxfId="37" stopIfTrue="1">
      <formula>#REF!="нет"</formula>
    </cfRule>
  </conditionalFormatting>
  <conditionalFormatting sqref="J70:J71 E70 G70">
    <cfRule type="expression" priority="128" dxfId="38" stopIfTrue="1">
      <formula>$A$70=$N$74</formula>
    </cfRule>
  </conditionalFormatting>
  <conditionalFormatting sqref="B72:J74">
    <cfRule type="expression" priority="131" dxfId="39" stopIfTrue="1">
      <formula>$A$70=$N$74</formula>
    </cfRule>
  </conditionalFormatting>
  <conditionalFormatting sqref="K124">
    <cfRule type="containsText" priority="7" dxfId="40" operator="containsText" stopIfTrue="1" text="не соотв">
      <formula>NOT(ISERROR(SEARCH("не соотв",K124)))</formula>
    </cfRule>
  </conditionalFormatting>
  <conditionalFormatting sqref="E22:J22">
    <cfRule type="expression" priority="154" dxfId="41" stopIfTrue="1">
      <formula>$C$22&lt;&gt;"да"</formula>
    </cfRule>
  </conditionalFormatting>
  <conditionalFormatting sqref="C20:C22">
    <cfRule type="expression" priority="177" dxfId="39" stopIfTrue="1">
      <formula>$B$20=""</formula>
    </cfRule>
  </conditionalFormatting>
  <conditionalFormatting sqref="I93">
    <cfRule type="expression" priority="187" dxfId="42" stopIfTrue="1">
      <formula>OR($G$79="да",$G$80="да",$G$84="да")</formula>
    </cfRule>
  </conditionalFormatting>
  <conditionalFormatting sqref="J93">
    <cfRule type="expression" priority="190" dxfId="32" stopIfTrue="1">
      <formula>AND($G$79="нет",$G$80="нет",$G$84="нет")</formula>
    </cfRule>
  </conditionalFormatting>
  <conditionalFormatting sqref="I46">
    <cfRule type="expression" priority="6" dxfId="43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8">
      <formula1>25569</formula1>
      <formula2>N46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5 E59 E63">
      <formula1>1900</formula1>
      <formula2>K55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0">
      <formula1>L70</formula1>
      <formula2>K70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6">
      <formula1>M46</formula1>
      <formula2>N46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2:E32">
      <formula1>$E$4:$E$16</formula1>
    </dataValidation>
    <dataValidation type="list" showInputMessage="1" showErrorMessage="1" sqref="G82:H83 G79:H80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3">
      <formula1>"нет, да"</formula1>
    </dataValidation>
    <dataValidation type="list" showInputMessage="1" showErrorMessage="1" promptTitle="Выберите из списка" prompt=" (нет/да)" sqref="I96">
      <formula1>"нет, да"</formula1>
    </dataValidation>
    <dataValidation type="list" allowBlank="1" showInputMessage="1" showErrorMessage="1" sqref="F107">
      <formula1>"1, 2"</formula1>
    </dataValidation>
    <dataValidation allowBlank="1" showInputMessage="1" showErrorMessage="1" promptTitle="Введите" prompt="ФИО полностью&#10;" sqref="C109 C115 C113 C111"/>
    <dataValidation type="list" allowBlank="1" showInputMessage="1" showErrorMessage="1" promptTitle="Воспользуйтесь кнопкой" prompt="справа" sqref="E11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8">
      <formula1>1</formula1>
      <formula2>31</formula2>
    </dataValidation>
    <dataValidation allowBlank="1" showInputMessage="1" showErrorMessage="1" promptTitle="Введите" prompt="ФИО полностью" sqref="L110 C30:I31 C33:I33"/>
    <dataValidation errorStyle="warning" type="list" allowBlank="1" showInputMessage="1" showErrorMessage="1" errorTitle="Внимание! Нет в списке!" error="&#10;Вы уверены?&#10;----------------" sqref="A61:A62 A57:A58">
      <formula1>$K$50:$R$50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53:J54 B57:J58 B61:J62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5 J83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0">
      <formula1>$N$74:$N$76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7">
      <formula1>16</formula1>
      <formula2>9000</formula2>
    </dataValidation>
    <dataValidation type="list" showInputMessage="1" showErrorMessage="1" promptTitle="Выберите из списка" prompt="воспользуйтесь кнопкой" sqref="A77:E77">
      <formula1>$L$73:$L$77</formula1>
    </dataValidation>
    <dataValidation type="list" allowBlank="1" showInputMessage="1" showErrorMessage="1" promptTitle="Выберите из списка" prompt="год окончания&#10;   или &#10;обучается" sqref="E70">
      <formula1>"год окончания, обучается, "</formula1>
    </dataValidation>
    <dataValidation type="list" showInputMessage="1" showErrorMessage="1" sqref="N57:O57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4">
      <formula1>0</formula1>
      <formula2>66</formula2>
    </dataValidation>
    <dataValidation errorStyle="information" allowBlank="1" sqref="A42:I43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2:I32">
      <formula1>$E$4:$E$16</formula1>
    </dataValidation>
    <dataValidation type="list" allowBlank="1" showInputMessage="1" showErrorMessage="1" promptTitle="Выберите из списка" prompt="воспользуйтесь кнопкой" sqref="D48">
      <formula1>"первая, высшая"</formula1>
    </dataValidation>
    <dataValidation type="whole" allowBlank="1" showInputMessage="1" showErrorMessage="1" promptTitle="Введите" prompt="целое число лет" sqref="D44">
      <formula1>1</formula1>
      <formula2>99</formula2>
    </dataValidation>
    <dataValidation type="list" showInputMessage="1" showErrorMessage="1" promptTitle="выберите из списка" prompt="воспользуйтесь кнопкой" sqref="D46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8:H48">
      <formula1>$L$47:$N$47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2:J74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2:J22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$B$130:$H$130</formula1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allowBlank="1" showInputMessage="1" showErrorMessage="1" sqref="C20:C22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0:E50">
      <formula1>$L$50:$N$50</formula1>
    </dataValidation>
    <dataValidation errorStyle="warning" allowBlank="1" showInputMessage="1" showErrorMessage="1" errorTitle="Внимание! Нет в списке!" error="&#10;Вы уверены?&#10;----------------" sqref="A53:A54"/>
    <dataValidation type="list" allowBlank="1" showInputMessage="1" showErrorMessage="1" sqref="B24:I24">
      <formula1>$L$20:$L$23</formula1>
    </dataValidation>
    <dataValidation type="list" showInputMessage="1" showErrorMessage="1" errorTitle="Внимание!" error="Должности нет в списке!&#10;&#10;Воспользуйтесь кнопкой справа" sqref="B38:H38">
      <formula1>"воспитатель,"</formula1>
    </dataValidation>
    <dataValidation type="list" showInputMessage="1" showErrorMessage="1" promptTitle="выберите из списка" prompt="НЕТ \ ДА" sqref="G103:H103">
      <formula1>"нет, да"</formula1>
    </dataValidation>
    <dataValidation errorStyle="information" type="textLength" allowBlank="1" showInputMessage="1" showErrorMessage="1" promptTitle="!!! в ИМЕНИТЕЛЬНОМ падеже !!!" prompt="&#10;Например, &#10;дошкольное образование" errorTitle="Внимание!" error="Длина строки более 50 символов" sqref="B39:H39">
      <formula1>1</formula1>
      <formula2>50</formula2>
    </dataValidation>
    <dataValidation type="whole" allowBlank="1" showInputMessage="1" showErrorMessage="1" promptTitle="Введите год (двузначное число)" prompt="от 23  " sqref="H118">
      <formula1>23</formula1>
      <formula2>40</formula2>
    </dataValidation>
  </dataValidations>
  <hyperlinks>
    <hyperlink ref="A147:J147" location="ЭЗ!A40" tooltip="Щелкните, чтобы перейти по ссылке" display="Перейти на лист 'ЭЗ'"/>
    <hyperlink ref="A150:J150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2:J172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2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70" customWidth="1"/>
    <col min="2" max="2" width="7.625" style="5" customWidth="1"/>
    <col min="3" max="4" width="6.75390625" style="5" customWidth="1"/>
    <col min="5" max="5" width="5.75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316" hidden="1" customWidth="1"/>
    <col min="32" max="32" width="8.125" style="316" hidden="1" customWidth="1"/>
    <col min="33" max="33" width="9.125" style="5" hidden="1" customWidth="1"/>
    <col min="34" max="34" width="4.00390625" style="5" hidden="1" customWidth="1"/>
    <col min="35" max="16384" width="9.125" style="5" customWidth="1"/>
  </cols>
  <sheetData>
    <row r="1" spans="24:31" ht="12.75" customHeight="1" hidden="1">
      <c r="X1" s="320"/>
      <c r="Y1" s="249"/>
      <c r="Z1" s="250"/>
      <c r="AA1" s="238"/>
      <c r="AB1" s="238" t="s">
        <v>178</v>
      </c>
      <c r="AC1" s="251" t="s">
        <v>179</v>
      </c>
      <c r="AE1" s="556"/>
    </row>
    <row r="2" spans="24:31" ht="12.75" customHeight="1" hidden="1">
      <c r="X2" s="320"/>
      <c r="Y2" s="360" t="s">
        <v>117</v>
      </c>
      <c r="Z2" s="364"/>
      <c r="AA2" s="353" t="s">
        <v>371</v>
      </c>
      <c r="AB2" s="241"/>
      <c r="AC2" s="242">
        <f>LEN(AA2)</f>
        <v>8</v>
      </c>
      <c r="AE2" s="348" t="s">
        <v>118</v>
      </c>
    </row>
    <row r="3" spans="24:31" ht="12.75" hidden="1">
      <c r="X3" s="320"/>
      <c r="Y3" s="361" t="s">
        <v>119</v>
      </c>
      <c r="Z3" s="365" t="s">
        <v>138</v>
      </c>
      <c r="AA3" s="353" t="s">
        <v>372</v>
      </c>
      <c r="AB3" s="241"/>
      <c r="AC3" s="242">
        <f aca="true" t="shared" si="0" ref="AC3:AC33">LEN(AA3)</f>
        <v>11</v>
      </c>
      <c r="AE3" s="348" t="s">
        <v>120</v>
      </c>
    </row>
    <row r="4" spans="24:31" ht="12.75" hidden="1">
      <c r="X4" s="320"/>
      <c r="Y4" s="362" t="s">
        <v>121</v>
      </c>
      <c r="Z4" s="366"/>
      <c r="AA4" s="353" t="s">
        <v>373</v>
      </c>
      <c r="AB4" s="241"/>
      <c r="AC4" s="242">
        <f t="shared" si="0"/>
        <v>11</v>
      </c>
      <c r="AE4" s="348" t="s">
        <v>122</v>
      </c>
    </row>
    <row r="5" spans="24:31" ht="12.75" hidden="1">
      <c r="X5" s="320"/>
      <c r="Y5" s="361" t="s">
        <v>123</v>
      </c>
      <c r="Z5" s="365"/>
      <c r="AA5" s="353" t="s">
        <v>374</v>
      </c>
      <c r="AB5" s="241"/>
      <c r="AC5" s="242">
        <f t="shared" si="0"/>
        <v>20</v>
      </c>
      <c r="AE5" s="348" t="s">
        <v>124</v>
      </c>
    </row>
    <row r="6" spans="24:31" ht="12.75" hidden="1">
      <c r="X6" s="320"/>
      <c r="Y6" s="361" t="s">
        <v>125</v>
      </c>
      <c r="Z6" s="365"/>
      <c r="AA6" s="353" t="s">
        <v>375</v>
      </c>
      <c r="AB6" s="241"/>
      <c r="AC6" s="242">
        <f t="shared" si="0"/>
        <v>28</v>
      </c>
      <c r="AE6" s="348" t="s">
        <v>126</v>
      </c>
    </row>
    <row r="7" spans="24:31" ht="12.75" hidden="1">
      <c r="X7" s="320"/>
      <c r="Y7" s="361" t="s">
        <v>127</v>
      </c>
      <c r="Z7" s="365"/>
      <c r="AA7" s="353" t="s">
        <v>376</v>
      </c>
      <c r="AB7" s="241"/>
      <c r="AC7" s="242">
        <f t="shared" si="0"/>
        <v>21</v>
      </c>
      <c r="AE7" s="348" t="s">
        <v>128</v>
      </c>
    </row>
    <row r="8" spans="24:31" ht="12.75" hidden="1">
      <c r="X8" s="320"/>
      <c r="Y8" s="361" t="s">
        <v>129</v>
      </c>
      <c r="Z8" s="365"/>
      <c r="AA8" s="353" t="s">
        <v>377</v>
      </c>
      <c r="AB8" s="241"/>
      <c r="AC8" s="242">
        <f t="shared" si="0"/>
        <v>15</v>
      </c>
      <c r="AE8" s="348" t="s">
        <v>130</v>
      </c>
    </row>
    <row r="9" spans="24:31" ht="12.75" hidden="1">
      <c r="X9" s="320"/>
      <c r="Y9" s="362" t="s">
        <v>131</v>
      </c>
      <c r="Z9" s="366"/>
      <c r="AA9" s="353" t="s">
        <v>378</v>
      </c>
      <c r="AB9" s="241"/>
      <c r="AC9" s="242">
        <f t="shared" si="0"/>
        <v>8</v>
      </c>
      <c r="AE9" s="348" t="s">
        <v>132</v>
      </c>
    </row>
    <row r="10" spans="24:31" ht="12.75" hidden="1">
      <c r="X10" s="320"/>
      <c r="Y10" s="361" t="s">
        <v>133</v>
      </c>
      <c r="Z10" s="365"/>
      <c r="AA10" s="353" t="s">
        <v>473</v>
      </c>
      <c r="AB10" s="241"/>
      <c r="AC10" s="242">
        <f t="shared" si="0"/>
        <v>34</v>
      </c>
      <c r="AE10" s="348" t="s">
        <v>475</v>
      </c>
    </row>
    <row r="11" spans="24:31" ht="12.75" hidden="1">
      <c r="X11" s="320"/>
      <c r="Y11" s="361" t="s">
        <v>134</v>
      </c>
      <c r="Z11" s="365"/>
      <c r="AA11" s="353" t="s">
        <v>379</v>
      </c>
      <c r="AB11" s="241"/>
      <c r="AC11" s="242">
        <f t="shared" si="0"/>
        <v>9</v>
      </c>
      <c r="AE11" s="348" t="s">
        <v>135</v>
      </c>
    </row>
    <row r="12" spans="24:31" ht="12.75" hidden="1">
      <c r="X12" s="320"/>
      <c r="Y12" s="361" t="s">
        <v>136</v>
      </c>
      <c r="Z12" s="365"/>
      <c r="AA12" s="353" t="s">
        <v>380</v>
      </c>
      <c r="AB12" s="241"/>
      <c r="AC12" s="242">
        <f t="shared" si="0"/>
        <v>25</v>
      </c>
      <c r="AE12" s="348" t="s">
        <v>137</v>
      </c>
    </row>
    <row r="13" spans="24:31" ht="12.75" hidden="1">
      <c r="X13" s="320"/>
      <c r="Y13" s="361" t="s">
        <v>139</v>
      </c>
      <c r="Z13" s="365"/>
      <c r="AA13" s="353" t="s">
        <v>381</v>
      </c>
      <c r="AB13" s="241"/>
      <c r="AC13" s="242">
        <f t="shared" si="0"/>
        <v>25</v>
      </c>
      <c r="AE13" s="348" t="s">
        <v>140</v>
      </c>
    </row>
    <row r="14" spans="24:31" ht="12.75" hidden="1">
      <c r="X14" s="320"/>
      <c r="Y14" s="360" t="s">
        <v>329</v>
      </c>
      <c r="Z14" s="364"/>
      <c r="AA14" s="353" t="s">
        <v>382</v>
      </c>
      <c r="AB14" s="241"/>
      <c r="AC14" s="242">
        <f t="shared" si="0"/>
        <v>21</v>
      </c>
      <c r="AE14" s="348" t="s">
        <v>330</v>
      </c>
    </row>
    <row r="15" spans="24:31" ht="12.75" hidden="1">
      <c r="X15" s="320"/>
      <c r="Y15" s="361" t="s">
        <v>141</v>
      </c>
      <c r="Z15" s="365" t="s">
        <v>138</v>
      </c>
      <c r="AA15" s="353" t="s">
        <v>383</v>
      </c>
      <c r="AB15" s="241"/>
      <c r="AC15" s="242">
        <f t="shared" si="0"/>
        <v>21</v>
      </c>
      <c r="AE15" s="348" t="s">
        <v>142</v>
      </c>
    </row>
    <row r="16" spans="24:31" ht="12.75" hidden="1">
      <c r="X16" s="320"/>
      <c r="Y16" s="361" t="s">
        <v>143</v>
      </c>
      <c r="Z16" s="365"/>
      <c r="AA16" s="353" t="s">
        <v>384</v>
      </c>
      <c r="AB16" s="241"/>
      <c r="AC16" s="242">
        <f t="shared" si="0"/>
        <v>18</v>
      </c>
      <c r="AE16" s="348" t="s">
        <v>144</v>
      </c>
    </row>
    <row r="17" spans="24:31" ht="12.75" hidden="1">
      <c r="X17" s="320"/>
      <c r="Y17" s="361" t="s">
        <v>145</v>
      </c>
      <c r="Z17" s="365" t="s">
        <v>138</v>
      </c>
      <c r="AA17" s="353" t="s">
        <v>385</v>
      </c>
      <c r="AB17" s="241"/>
      <c r="AC17" s="242">
        <f t="shared" si="0"/>
        <v>13</v>
      </c>
      <c r="AE17" s="348" t="s">
        <v>146</v>
      </c>
    </row>
    <row r="18" spans="24:31" ht="12.75" hidden="1">
      <c r="X18" s="320"/>
      <c r="Y18" s="361" t="s">
        <v>405</v>
      </c>
      <c r="Z18" s="365" t="s">
        <v>138</v>
      </c>
      <c r="AA18" s="353" t="s">
        <v>386</v>
      </c>
      <c r="AB18" s="241"/>
      <c r="AC18" s="242">
        <f t="shared" si="0"/>
        <v>30</v>
      </c>
      <c r="AE18" s="348" t="s">
        <v>370</v>
      </c>
    </row>
    <row r="19" spans="24:31" ht="12.75" hidden="1">
      <c r="X19" s="320"/>
      <c r="Y19" s="361" t="s">
        <v>327</v>
      </c>
      <c r="Z19" s="365"/>
      <c r="AA19" s="353" t="s">
        <v>387</v>
      </c>
      <c r="AB19" s="241"/>
      <c r="AC19" s="242">
        <f t="shared" si="0"/>
        <v>28</v>
      </c>
      <c r="AE19" s="348" t="s">
        <v>147</v>
      </c>
    </row>
    <row r="20" spans="24:31" ht="12.75" hidden="1">
      <c r="X20" s="320"/>
      <c r="Y20" s="361" t="s">
        <v>148</v>
      </c>
      <c r="Z20" s="365"/>
      <c r="AA20" s="353" t="s">
        <v>388</v>
      </c>
      <c r="AB20" s="241"/>
      <c r="AC20" s="242">
        <f t="shared" si="0"/>
        <v>20</v>
      </c>
      <c r="AE20" s="348" t="s">
        <v>149</v>
      </c>
    </row>
    <row r="21" spans="24:31" ht="12.75" hidden="1">
      <c r="X21" s="320"/>
      <c r="Y21" s="360" t="s">
        <v>150</v>
      </c>
      <c r="Z21" s="364"/>
      <c r="AA21" s="353" t="s">
        <v>389</v>
      </c>
      <c r="AB21" s="241"/>
      <c r="AC21" s="242">
        <f t="shared" si="0"/>
        <v>17</v>
      </c>
      <c r="AE21" s="348" t="s">
        <v>151</v>
      </c>
    </row>
    <row r="22" spans="24:31" ht="12.75" hidden="1">
      <c r="X22" s="320"/>
      <c r="Y22" s="360" t="s">
        <v>152</v>
      </c>
      <c r="Z22" s="364"/>
      <c r="AA22" s="353" t="s">
        <v>390</v>
      </c>
      <c r="AB22" s="241"/>
      <c r="AC22" s="242">
        <f t="shared" si="0"/>
        <v>20</v>
      </c>
      <c r="AE22" s="348" t="s">
        <v>153</v>
      </c>
    </row>
    <row r="23" spans="24:31" ht="12.75" hidden="1">
      <c r="X23" s="320"/>
      <c r="Y23" s="360" t="s">
        <v>331</v>
      </c>
      <c r="Z23" s="364"/>
      <c r="AA23" s="353" t="s">
        <v>391</v>
      </c>
      <c r="AB23" s="241"/>
      <c r="AC23" s="242">
        <f t="shared" si="0"/>
        <v>30</v>
      </c>
      <c r="AE23" s="348" t="s">
        <v>332</v>
      </c>
    </row>
    <row r="24" spans="24:31" ht="12.75" hidden="1">
      <c r="X24" s="320"/>
      <c r="Y24" s="360" t="s">
        <v>322</v>
      </c>
      <c r="Z24" s="364"/>
      <c r="AA24" s="353" t="s">
        <v>392</v>
      </c>
      <c r="AB24" s="241"/>
      <c r="AC24" s="242">
        <f t="shared" si="0"/>
        <v>18</v>
      </c>
      <c r="AE24" s="348" t="s">
        <v>323</v>
      </c>
    </row>
    <row r="25" spans="24:31" ht="12.75" hidden="1">
      <c r="X25" s="320"/>
      <c r="Y25" s="360" t="s">
        <v>324</v>
      </c>
      <c r="Z25" s="364"/>
      <c r="AA25" s="353" t="s">
        <v>393</v>
      </c>
      <c r="AB25" s="241"/>
      <c r="AC25" s="242">
        <f t="shared" si="0"/>
        <v>33</v>
      </c>
      <c r="AE25" s="348" t="s">
        <v>328</v>
      </c>
    </row>
    <row r="26" spans="24:31" ht="12.75" hidden="1">
      <c r="X26" s="320"/>
      <c r="Y26" s="360" t="s">
        <v>321</v>
      </c>
      <c r="Z26" s="364"/>
      <c r="AA26" s="353" t="s">
        <v>394</v>
      </c>
      <c r="AB26" s="241"/>
      <c r="AC26" s="242">
        <f t="shared" si="0"/>
        <v>16</v>
      </c>
      <c r="AE26" s="348" t="s">
        <v>320</v>
      </c>
    </row>
    <row r="27" spans="24:31" ht="12.75" hidden="1">
      <c r="X27" s="320"/>
      <c r="Y27" s="362" t="s">
        <v>154</v>
      </c>
      <c r="Z27" s="366" t="s">
        <v>138</v>
      </c>
      <c r="AA27" s="353" t="s">
        <v>395</v>
      </c>
      <c r="AB27" s="241"/>
      <c r="AC27" s="242">
        <f t="shared" si="0"/>
        <v>7</v>
      </c>
      <c r="AE27" s="348" t="s">
        <v>155</v>
      </c>
    </row>
    <row r="28" spans="24:31" ht="12.75" hidden="1">
      <c r="X28" s="320"/>
      <c r="Y28" s="361" t="s">
        <v>156</v>
      </c>
      <c r="Z28" s="365" t="s">
        <v>138</v>
      </c>
      <c r="AA28" s="353" t="s">
        <v>396</v>
      </c>
      <c r="AB28" s="241"/>
      <c r="AC28" s="242">
        <f t="shared" si="0"/>
        <v>21</v>
      </c>
      <c r="AE28" s="348" t="s">
        <v>157</v>
      </c>
    </row>
    <row r="29" spans="24:31" ht="12.75" hidden="1">
      <c r="X29" s="320"/>
      <c r="Y29" s="360" t="s">
        <v>333</v>
      </c>
      <c r="Z29" s="364" t="s">
        <v>138</v>
      </c>
      <c r="AA29" s="353" t="s">
        <v>397</v>
      </c>
      <c r="AB29" s="241"/>
      <c r="AC29" s="242">
        <f t="shared" si="0"/>
        <v>7</v>
      </c>
      <c r="AE29" s="348" t="s">
        <v>334</v>
      </c>
    </row>
    <row r="30" spans="24:31" ht="12.75" hidden="1">
      <c r="X30" s="320"/>
      <c r="Y30" s="361" t="s">
        <v>14</v>
      </c>
      <c r="Z30" s="365" t="s">
        <v>138</v>
      </c>
      <c r="AA30" s="353" t="s">
        <v>398</v>
      </c>
      <c r="AB30" s="241"/>
      <c r="AC30" s="242">
        <f t="shared" si="0"/>
        <v>7</v>
      </c>
      <c r="AE30" s="348" t="s">
        <v>7</v>
      </c>
    </row>
    <row r="31" spans="24:31" ht="12.75" hidden="1">
      <c r="X31" s="320"/>
      <c r="Y31" s="363" t="s">
        <v>158</v>
      </c>
      <c r="Z31" s="365"/>
      <c r="AA31" s="353" t="s">
        <v>399</v>
      </c>
      <c r="AB31" s="241"/>
      <c r="AC31" s="242">
        <f>LEN(AA31)</f>
        <v>19</v>
      </c>
      <c r="AE31" s="348" t="s">
        <v>159</v>
      </c>
    </row>
    <row r="32" spans="24:31" ht="12.75" hidden="1">
      <c r="X32" s="320"/>
      <c r="Y32" s="363" t="s">
        <v>160</v>
      </c>
      <c r="Z32" s="365"/>
      <c r="AA32" s="353" t="s">
        <v>400</v>
      </c>
      <c r="AB32" s="241"/>
      <c r="AC32" s="242">
        <f t="shared" si="0"/>
        <v>16</v>
      </c>
      <c r="AE32" s="348" t="s">
        <v>161</v>
      </c>
    </row>
    <row r="33" spans="24:31" ht="12.75" hidden="1">
      <c r="X33" s="320"/>
      <c r="Y33" s="362" t="s">
        <v>325</v>
      </c>
      <c r="Z33" s="366"/>
      <c r="AA33" s="354" t="s">
        <v>401</v>
      </c>
      <c r="AB33" s="241"/>
      <c r="AC33" s="242">
        <f t="shared" si="0"/>
        <v>11</v>
      </c>
      <c r="AE33" s="348" t="s">
        <v>326</v>
      </c>
    </row>
    <row r="34" spans="24:31" ht="12.75" hidden="1">
      <c r="X34" s="320"/>
      <c r="Y34" s="241"/>
      <c r="Z34" s="241"/>
      <c r="AA34" s="347" t="s">
        <v>6</v>
      </c>
      <c r="AB34" s="241"/>
      <c r="AC34" s="242"/>
      <c r="AE34" s="348"/>
    </row>
    <row r="35" spans="24:31" ht="12.75" hidden="1">
      <c r="X35" s="320"/>
      <c r="Y35" s="243" t="str">
        <f>IF(OR('общие сведения'!L38=""),"Ошибка !",VLOOKUP('общие сведения'!L38,Y1:AB34,3))</f>
        <v>ВОСПИТАТЕЛЯ</v>
      </c>
      <c r="Z35" s="244"/>
      <c r="AA35" s="245">
        <f>LEN(Y35)</f>
        <v>11</v>
      </c>
      <c r="AB35" s="246"/>
      <c r="AC35" s="443" t="str">
        <f>IF(AC37="","-",IF(VLOOKUP(AC37,Y2:Z34,2)="v","Специализация","."))</f>
        <v>Специализация</v>
      </c>
      <c r="AE35" s="557" t="str">
        <f>VLOOKUP('общие сведения'!L38,Y1:AE34,7)</f>
        <v>воспитателя</v>
      </c>
    </row>
    <row r="36" spans="24:29" ht="12.75" hidden="1">
      <c r="X36" s="320"/>
      <c r="Y36" s="247">
        <f>IF(ISERR(SEARCH(LEFT(Y35,5),D52)),0,1)</f>
        <v>0</v>
      </c>
      <c r="Z36" s="953"/>
      <c r="AA36" s="953"/>
      <c r="AB36" s="248"/>
      <c r="AC36" s="242"/>
    </row>
    <row r="37" spans="24:29" ht="12.75" hidden="1">
      <c r="X37" s="320"/>
      <c r="Y37" s="241" t="str">
        <f>IF(AND(AA35&lt;31,Y36=1),Y35,AE35)</f>
        <v>воспитателя</v>
      </c>
      <c r="Z37" s="327"/>
      <c r="AA37" s="327"/>
      <c r="AB37" s="328"/>
      <c r="AC37" s="516" t="str">
        <f>'общие сведения'!B38</f>
        <v>воспитатель</v>
      </c>
    </row>
    <row r="38" spans="24:29" ht="12.75" hidden="1">
      <c r="X38" s="320"/>
      <c r="Y38" s="241"/>
      <c r="Z38" s="327"/>
      <c r="AA38" s="327"/>
      <c r="AB38" s="328"/>
      <c r="AC38" s="191"/>
    </row>
    <row r="39" spans="24:29" ht="12.75" hidden="1">
      <c r="X39" s="320"/>
      <c r="Y39" s="241"/>
      <c r="Z39" s="327"/>
      <c r="AA39" s="327"/>
      <c r="AB39" s="328"/>
      <c r="AC39" s="191"/>
    </row>
    <row r="40" spans="1:35" ht="15" customHeight="1">
      <c r="A40" s="955" t="s">
        <v>180</v>
      </c>
      <c r="B40" s="955"/>
      <c r="C40" s="955"/>
      <c r="D40" s="955"/>
      <c r="E40" s="955"/>
      <c r="F40" s="955"/>
      <c r="G40" s="955"/>
      <c r="H40" s="955"/>
      <c r="I40" s="955"/>
      <c r="J40" s="955"/>
      <c r="K40" s="955"/>
      <c r="L40" s="955"/>
      <c r="M40" s="955"/>
      <c r="N40" s="955"/>
      <c r="O40" s="955"/>
      <c r="P40" s="955"/>
      <c r="Q40" s="955"/>
      <c r="R40" s="955"/>
      <c r="S40" s="955"/>
      <c r="T40" s="955"/>
      <c r="U40" s="955"/>
      <c r="V40" s="955"/>
      <c r="W40" s="955"/>
      <c r="X40" s="622" t="str">
        <f>'общие сведения'!T1</f>
        <v> ЭЗ - 02. 2023 г.</v>
      </c>
      <c r="Y40" s="388"/>
      <c r="AG40" s="190"/>
      <c r="AH40" s="531"/>
      <c r="AI40" s="190"/>
    </row>
    <row r="41" spans="1:35" ht="3" customHeight="1">
      <c r="A41" s="955"/>
      <c r="B41" s="955"/>
      <c r="C41" s="955"/>
      <c r="D41" s="955"/>
      <c r="E41" s="955"/>
      <c r="F41" s="955"/>
      <c r="G41" s="955"/>
      <c r="H41" s="955"/>
      <c r="I41" s="955"/>
      <c r="J41" s="955"/>
      <c r="K41" s="955"/>
      <c r="L41" s="955"/>
      <c r="M41" s="955"/>
      <c r="N41" s="955"/>
      <c r="O41" s="955"/>
      <c r="P41" s="955"/>
      <c r="Q41" s="955"/>
      <c r="R41" s="955"/>
      <c r="S41" s="955"/>
      <c r="T41" s="955"/>
      <c r="U41" s="955"/>
      <c r="V41" s="955"/>
      <c r="W41" s="955"/>
      <c r="X41" s="616" t="str">
        <f>'общие сведения'!T2</f>
        <v># 2</v>
      </c>
      <c r="AG41" s="190"/>
      <c r="AH41" s="531"/>
      <c r="AI41" s="190"/>
    </row>
    <row r="42" spans="1:35" ht="15" customHeight="1">
      <c r="A42" s="954" t="s">
        <v>517</v>
      </c>
      <c r="B42" s="954"/>
      <c r="C42" s="954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  <c r="S42" s="954"/>
      <c r="T42" s="954"/>
      <c r="U42" s="954"/>
      <c r="V42" s="954"/>
      <c r="W42" s="954"/>
      <c r="X42" s="616" t="str">
        <f>'общие сведения'!T2</f>
        <v># 2</v>
      </c>
      <c r="AG42" s="190"/>
      <c r="AH42" s="531"/>
      <c r="AI42" s="190"/>
    </row>
    <row r="43" spans="1:35" ht="12.75">
      <c r="A43" s="954"/>
      <c r="B43" s="954"/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  <c r="O43" s="954"/>
      <c r="P43" s="954"/>
      <c r="Q43" s="954"/>
      <c r="R43" s="954"/>
      <c r="S43" s="954"/>
      <c r="T43" s="954"/>
      <c r="U43" s="954"/>
      <c r="V43" s="954"/>
      <c r="W43" s="954"/>
      <c r="X43" s="616"/>
      <c r="AG43" s="190"/>
      <c r="AH43" s="531"/>
      <c r="AI43" s="190"/>
    </row>
    <row r="44" spans="1:35" ht="12.75">
      <c r="A44" s="954"/>
      <c r="B44" s="954"/>
      <c r="C44" s="954"/>
      <c r="D44" s="954"/>
      <c r="E44" s="954"/>
      <c r="F44" s="954"/>
      <c r="G44" s="954"/>
      <c r="H44" s="954"/>
      <c r="I44" s="954"/>
      <c r="J44" s="954"/>
      <c r="K44" s="954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616"/>
      <c r="AG44" s="190"/>
      <c r="AH44" s="531"/>
      <c r="AI44" s="190"/>
    </row>
    <row r="45" spans="1:35" ht="18" customHeight="1">
      <c r="A45" s="932" t="s">
        <v>181</v>
      </c>
      <c r="B45" s="932"/>
      <c r="C45" s="932"/>
      <c r="D45" s="932"/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2"/>
      <c r="R45" s="932"/>
      <c r="S45" s="932"/>
      <c r="T45" s="932"/>
      <c r="U45" s="932"/>
      <c r="V45" s="932"/>
      <c r="W45" s="932"/>
      <c r="X45" s="616"/>
      <c r="AG45" s="190"/>
      <c r="AH45" s="531"/>
      <c r="AI45" s="190"/>
    </row>
    <row r="46" spans="1:35" ht="6.75" customHeight="1">
      <c r="A46" s="932"/>
      <c r="B46" s="932"/>
      <c r="C46" s="932"/>
      <c r="D46" s="932"/>
      <c r="E46" s="932"/>
      <c r="F46" s="932"/>
      <c r="G46" s="932"/>
      <c r="H46" s="932"/>
      <c r="I46" s="932"/>
      <c r="J46" s="932"/>
      <c r="K46" s="932"/>
      <c r="L46" s="932"/>
      <c r="M46" s="932"/>
      <c r="N46" s="932"/>
      <c r="O46" s="932"/>
      <c r="P46" s="932"/>
      <c r="Q46" s="932"/>
      <c r="R46" s="932"/>
      <c r="S46" s="932"/>
      <c r="T46" s="932"/>
      <c r="U46" s="932"/>
      <c r="V46" s="932"/>
      <c r="W46" s="932"/>
      <c r="X46" s="616"/>
      <c r="AG46" s="190"/>
      <c r="AH46" s="531"/>
      <c r="AI46" s="190"/>
    </row>
    <row r="47" spans="1:35" ht="12.75">
      <c r="A47" s="181" t="s">
        <v>10</v>
      </c>
      <c r="E47" s="956">
        <f>'общие сведения'!L30</f>
      </c>
      <c r="F47" s="956"/>
      <c r="G47" s="956"/>
      <c r="H47" s="956"/>
      <c r="I47" s="956"/>
      <c r="J47" s="956"/>
      <c r="K47" s="956"/>
      <c r="L47" s="956"/>
      <c r="M47" s="956"/>
      <c r="N47" s="956"/>
      <c r="O47" s="956"/>
      <c r="P47" s="956"/>
      <c r="Q47" s="956"/>
      <c r="R47" s="956"/>
      <c r="S47" s="956"/>
      <c r="T47" s="956"/>
      <c r="U47" s="956"/>
      <c r="V47" s="956"/>
      <c r="W47" s="956"/>
      <c r="X47" s="616"/>
      <c r="AG47" s="190"/>
      <c r="AH47" s="531"/>
      <c r="AI47" s="190"/>
    </row>
    <row r="48" spans="1:35" ht="12.75">
      <c r="A48" s="181" t="s">
        <v>12</v>
      </c>
      <c r="C48" s="931">
        <f>IF(FIO="","",'общие сведения'!L34)</f>
      </c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616"/>
      <c r="AG48" s="190"/>
      <c r="AH48" s="531"/>
      <c r="AI48" s="190"/>
    </row>
    <row r="49" spans="1:35" ht="12.75" customHeight="1">
      <c r="A49" s="931">
        <f>IF(FIO="","",'общие сведения'!L35)</f>
      </c>
      <c r="B49" s="931"/>
      <c r="C49" s="931"/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616"/>
      <c r="AG49" s="190"/>
      <c r="AH49" s="531"/>
      <c r="AI49" s="190"/>
    </row>
    <row r="50" spans="1:35" ht="12.75">
      <c r="A50" s="931">
        <f>IF(FIO="","",'общие сведения'!L36)</f>
      </c>
      <c r="B50" s="931"/>
      <c r="C50" s="931"/>
      <c r="D50" s="931"/>
      <c r="E50" s="931"/>
      <c r="F50" s="931"/>
      <c r="G50" s="931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1"/>
      <c r="S50" s="931"/>
      <c r="T50" s="931"/>
      <c r="U50" s="931"/>
      <c r="V50" s="931"/>
      <c r="W50" s="931"/>
      <c r="X50" s="616"/>
      <c r="AG50" s="190"/>
      <c r="AH50" s="531"/>
      <c r="AI50" s="190"/>
    </row>
    <row r="51" spans="1:35" ht="12.75">
      <c r="A51" s="181" t="s">
        <v>11</v>
      </c>
      <c r="E51" s="259">
        <f>IF(FIO="","",'общие сведения'!L32)</f>
      </c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616"/>
      <c r="AG51" s="190"/>
      <c r="AH51" s="531"/>
      <c r="AI51" s="190"/>
    </row>
    <row r="52" spans="1:35" ht="12.75" customHeight="1">
      <c r="A52" s="181" t="s">
        <v>13</v>
      </c>
      <c r="D52" s="227">
        <f>IF(FIO="","",'общие сведения'!L38)</f>
      </c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616"/>
      <c r="AG52" s="190"/>
      <c r="AH52" s="531"/>
      <c r="AI52" s="190"/>
    </row>
    <row r="53" spans="1:35" ht="12.75" customHeight="1">
      <c r="A53" s="181" t="s">
        <v>182</v>
      </c>
      <c r="D53" s="227">
        <f>IF(FIO="","",'общие сведения'!L39)</f>
      </c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616"/>
      <c r="AG53" s="190"/>
      <c r="AH53" s="531"/>
      <c r="AI53" s="190"/>
    </row>
    <row r="54" spans="1:35" ht="12.75">
      <c r="A54" s="181" t="s">
        <v>15</v>
      </c>
      <c r="E54" s="253">
        <f>IF(FIO="","",'общие сведения'!D44)</f>
      </c>
      <c r="F54" s="253">
        <f>IF(FIO="","",'общие сведения'!E44)</f>
      </c>
      <c r="G54" s="259"/>
      <c r="H54" s="224"/>
      <c r="I54" s="186"/>
      <c r="J54" s="186"/>
      <c r="X54" s="616"/>
      <c r="AG54" s="190"/>
      <c r="AH54" s="531"/>
      <c r="AI54" s="190"/>
    </row>
    <row r="55" spans="1:35" ht="12.75">
      <c r="A55" s="181" t="s">
        <v>16</v>
      </c>
      <c r="G55" s="936">
        <f>IF(OR(FIO="",'общие сведения'!D46=""),"",'общие сведения'!D46)</f>
      </c>
      <c r="H55" s="936"/>
      <c r="I55" s="183"/>
      <c r="J55" s="183"/>
      <c r="K55" s="935" t="s">
        <v>17</v>
      </c>
      <c r="L55" s="935"/>
      <c r="M55" s="935"/>
      <c r="N55" s="935"/>
      <c r="O55" s="935"/>
      <c r="P55" s="934">
        <f>'общие сведения'!K46</f>
      </c>
      <c r="Q55" s="934"/>
      <c r="R55" s="934"/>
      <c r="S55" s="934"/>
      <c r="X55" s="616"/>
      <c r="AG55" s="190"/>
      <c r="AH55" s="531"/>
      <c r="AI55" s="190"/>
    </row>
    <row r="56" spans="1:35" ht="12.75">
      <c r="A56" s="181" t="s">
        <v>19</v>
      </c>
      <c r="G56" s="936">
        <f>IF(OR(FIO="",'общие сведения'!D48=""),"",'общие сведения'!D48)</f>
      </c>
      <c r="H56" s="936"/>
      <c r="I56" s="183"/>
      <c r="J56" s="183"/>
      <c r="X56" s="616"/>
      <c r="AG56" s="190"/>
      <c r="AH56" s="531"/>
      <c r="AI56" s="190"/>
    </row>
    <row r="57" spans="1:35" ht="12.75">
      <c r="A57" s="181" t="s">
        <v>20</v>
      </c>
      <c r="C57" s="227">
        <f>IF(FIO="","",'общие сведения'!B50)</f>
      </c>
      <c r="D57" s="224"/>
      <c r="E57" s="224"/>
      <c r="F57" s="224"/>
      <c r="G57" s="224"/>
      <c r="H57" s="224"/>
      <c r="I57" s="186"/>
      <c r="J57" s="186"/>
      <c r="X57" s="616"/>
      <c r="Z57" s="406"/>
      <c r="AG57" s="190"/>
      <c r="AH57" s="531"/>
      <c r="AI57" s="190"/>
    </row>
    <row r="58" spans="1:35" ht="2.25" customHeight="1">
      <c r="A58" s="181"/>
      <c r="C58" s="229"/>
      <c r="D58" s="186"/>
      <c r="E58" s="186"/>
      <c r="F58" s="186"/>
      <c r="G58" s="186"/>
      <c r="H58" s="186"/>
      <c r="I58" s="186"/>
      <c r="J58" s="186"/>
      <c r="X58" s="616"/>
      <c r="AG58" s="190"/>
      <c r="AH58" s="531"/>
      <c r="AI58" s="190"/>
    </row>
    <row r="59" spans="1:35" ht="12.75" customHeight="1">
      <c r="A59" s="937">
        <f>IF(FIO="","",CLEAN('общие сведения'!L53&amp;" "&amp;'общие сведения'!L57&amp;" "&amp;'общие сведения'!L61))</f>
      </c>
      <c r="B59" s="937"/>
      <c r="C59" s="937"/>
      <c r="D59" s="937"/>
      <c r="E59" s="937"/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7"/>
      <c r="T59" s="937"/>
      <c r="U59" s="937"/>
      <c r="V59" s="937"/>
      <c r="W59" s="937"/>
      <c r="X59" s="616"/>
      <c r="Y59" s="371">
        <f>IF(ISERR(SEARCH(Z59,$A$59&amp;$A$67)),0,1)</f>
        <v>0</v>
      </c>
      <c r="Z59" s="378" t="s">
        <v>465</v>
      </c>
      <c r="AG59" s="190"/>
      <c r="AH59" s="531"/>
      <c r="AI59" s="190"/>
    </row>
    <row r="60" spans="1:35" ht="12.75" customHeight="1">
      <c r="A60" s="937"/>
      <c r="B60" s="937"/>
      <c r="C60" s="937"/>
      <c r="D60" s="937"/>
      <c r="E60" s="937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7"/>
      <c r="U60" s="937"/>
      <c r="V60" s="937"/>
      <c r="W60" s="937"/>
      <c r="X60" s="616"/>
      <c r="Y60" s="371">
        <f>IF(ISERR(SEARCH(Z60,$A$59&amp;$A$67)),0,1)</f>
        <v>0</v>
      </c>
      <c r="Z60" s="378" t="s">
        <v>466</v>
      </c>
      <c r="AG60" s="190"/>
      <c r="AH60" s="531"/>
      <c r="AI60" s="190"/>
    </row>
    <row r="61" spans="1:35" ht="12.75" customHeight="1">
      <c r="A61" s="937"/>
      <c r="B61" s="937"/>
      <c r="C61" s="937"/>
      <c r="D61" s="937"/>
      <c r="E61" s="937"/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7"/>
      <c r="R61" s="937"/>
      <c r="S61" s="937"/>
      <c r="T61" s="937"/>
      <c r="U61" s="937"/>
      <c r="V61" s="937"/>
      <c r="W61" s="937"/>
      <c r="X61" s="616"/>
      <c r="Y61" s="371">
        <f>IF(ISERR(SEARCH(Z61,$A$59&amp;$A$67)),0,1)</f>
        <v>0</v>
      </c>
      <c r="Z61" s="378" t="s">
        <v>467</v>
      </c>
      <c r="AG61" s="190"/>
      <c r="AH61" s="531"/>
      <c r="AI61" s="190"/>
    </row>
    <row r="62" spans="1:35" ht="12.75" customHeight="1">
      <c r="A62" s="937"/>
      <c r="B62" s="937"/>
      <c r="C62" s="937"/>
      <c r="D62" s="937"/>
      <c r="E62" s="937"/>
      <c r="F62" s="937"/>
      <c r="G62" s="937"/>
      <c r="H62" s="937"/>
      <c r="I62" s="937"/>
      <c r="J62" s="937"/>
      <c r="K62" s="937"/>
      <c r="L62" s="937"/>
      <c r="M62" s="937"/>
      <c r="N62" s="937"/>
      <c r="O62" s="937"/>
      <c r="P62" s="937"/>
      <c r="Q62" s="937"/>
      <c r="R62" s="937"/>
      <c r="S62" s="937"/>
      <c r="T62" s="937"/>
      <c r="U62" s="937"/>
      <c r="V62" s="937"/>
      <c r="W62" s="937"/>
      <c r="X62" s="616"/>
      <c r="Y62" s="407" t="str">
        <f>IF(SUM(Y59:Y61)&gt;0,"да","нет")</f>
        <v>нет</v>
      </c>
      <c r="Z62" s="408" t="s">
        <v>468</v>
      </c>
      <c r="AG62" s="190"/>
      <c r="AH62" s="531"/>
      <c r="AI62" s="190"/>
    </row>
    <row r="63" spans="1:65" ht="12.75">
      <c r="A63" s="937"/>
      <c r="B63" s="937"/>
      <c r="C63" s="937"/>
      <c r="D63" s="937"/>
      <c r="E63" s="937"/>
      <c r="F63" s="937"/>
      <c r="G63" s="937"/>
      <c r="H63" s="937"/>
      <c r="I63" s="937"/>
      <c r="J63" s="937"/>
      <c r="K63" s="937"/>
      <c r="L63" s="937"/>
      <c r="M63" s="937"/>
      <c r="N63" s="937"/>
      <c r="O63" s="937"/>
      <c r="P63" s="937"/>
      <c r="Q63" s="937"/>
      <c r="R63" s="937"/>
      <c r="S63" s="937"/>
      <c r="T63" s="937"/>
      <c r="U63" s="937"/>
      <c r="V63" s="937"/>
      <c r="W63" s="937"/>
      <c r="X63" s="616"/>
      <c r="Y63" s="230"/>
      <c r="Z63" s="230"/>
      <c r="AA63" s="230"/>
      <c r="AB63" s="230"/>
      <c r="AC63" s="230"/>
      <c r="AD63" s="230"/>
      <c r="AE63" s="558"/>
      <c r="AF63" s="558"/>
      <c r="AG63" s="190"/>
      <c r="AH63" s="531"/>
      <c r="AI63" s="19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</row>
    <row r="64" spans="1:65" ht="15.75" customHeight="1">
      <c r="A64" s="188" t="s">
        <v>183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616"/>
      <c r="Y64" s="230"/>
      <c r="Z64" s="230"/>
      <c r="AA64" s="230"/>
      <c r="AB64" s="230"/>
      <c r="AC64" s="230"/>
      <c r="AD64" s="230"/>
      <c r="AE64" s="558"/>
      <c r="AF64" s="558"/>
      <c r="AG64" s="190"/>
      <c r="AH64" s="531"/>
      <c r="AI64" s="19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</row>
    <row r="65" spans="1:65" ht="15.75" customHeight="1">
      <c r="A65" s="189" t="str">
        <f>'общие сведения'!A77</f>
        <v>Курсы повышения квалификации</v>
      </c>
      <c r="B65" s="230"/>
      <c r="C65" s="230"/>
      <c r="D65" s="230"/>
      <c r="E65" s="230"/>
      <c r="F65" s="230"/>
      <c r="G65" s="230"/>
      <c r="K65" s="961">
        <f>IF(FIO="","",'общие сведения'!G77)</f>
      </c>
      <c r="L65" s="961"/>
      <c r="M65" s="181" t="s">
        <v>184</v>
      </c>
      <c r="N65" s="334"/>
      <c r="T65" s="190"/>
      <c r="U65" s="190"/>
      <c r="V65" s="190"/>
      <c r="W65" s="230"/>
      <c r="X65" s="616"/>
      <c r="Y65" s="230"/>
      <c r="Z65" s="230"/>
      <c r="AA65" s="230"/>
      <c r="AB65" s="230"/>
      <c r="AC65" s="230"/>
      <c r="AD65" s="230"/>
      <c r="AE65" s="558"/>
      <c r="AF65" s="558"/>
      <c r="AG65" s="190"/>
      <c r="AH65" s="531"/>
      <c r="AI65" s="19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</row>
    <row r="66" spans="1:65" ht="12.75">
      <c r="A66" s="189" t="str">
        <f>"Дополнительное профессиональное образование"&amp;'общие сведения'!M70</f>
        <v>Дополнительное профессиональное образование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616"/>
      <c r="Y66" s="230"/>
      <c r="Z66" s="230"/>
      <c r="AA66" s="230"/>
      <c r="AB66" s="230"/>
      <c r="AC66" s="230"/>
      <c r="AD66" s="230"/>
      <c r="AE66" s="558"/>
      <c r="AF66" s="558"/>
      <c r="AG66" s="190"/>
      <c r="AH66" s="531"/>
      <c r="AI66" s="19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</row>
    <row r="67" spans="1:35" ht="12.75" customHeight="1">
      <c r="A67" s="937">
        <f>IF(FIO="","",CLEAN('общие сведения'!L72))</f>
      </c>
      <c r="B67" s="937"/>
      <c r="C67" s="937"/>
      <c r="D67" s="937"/>
      <c r="E67" s="937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616"/>
      <c r="AG67" s="190"/>
      <c r="AH67" s="531"/>
      <c r="AI67" s="190"/>
    </row>
    <row r="68" spans="1:35" ht="12.75" customHeight="1">
      <c r="A68" s="937"/>
      <c r="B68" s="937"/>
      <c r="C68" s="937"/>
      <c r="D68" s="937"/>
      <c r="E68" s="937"/>
      <c r="F68" s="937"/>
      <c r="G68" s="937"/>
      <c r="H68" s="937"/>
      <c r="I68" s="937"/>
      <c r="J68" s="937"/>
      <c r="K68" s="937"/>
      <c r="L68" s="937"/>
      <c r="M68" s="937"/>
      <c r="N68" s="937"/>
      <c r="O68" s="937"/>
      <c r="P68" s="937"/>
      <c r="Q68" s="937"/>
      <c r="R68" s="937"/>
      <c r="S68" s="937"/>
      <c r="T68" s="937"/>
      <c r="U68" s="937"/>
      <c r="V68" s="937"/>
      <c r="W68" s="937"/>
      <c r="X68" s="616"/>
      <c r="AG68" s="190"/>
      <c r="AH68" s="531"/>
      <c r="AI68" s="190"/>
    </row>
    <row r="69" spans="1:35" ht="12.75" customHeight="1">
      <c r="A69" s="937"/>
      <c r="B69" s="937"/>
      <c r="C69" s="937"/>
      <c r="D69" s="937"/>
      <c r="E69" s="937"/>
      <c r="F69" s="937"/>
      <c r="G69" s="937"/>
      <c r="H69" s="937"/>
      <c r="I69" s="937"/>
      <c r="J69" s="937"/>
      <c r="K69" s="937"/>
      <c r="L69" s="937"/>
      <c r="M69" s="937"/>
      <c r="N69" s="937"/>
      <c r="O69" s="937"/>
      <c r="P69" s="937"/>
      <c r="Q69" s="937"/>
      <c r="R69" s="937"/>
      <c r="S69" s="937"/>
      <c r="T69" s="937"/>
      <c r="U69" s="937"/>
      <c r="V69" s="937"/>
      <c r="W69" s="937"/>
      <c r="X69" s="616"/>
      <c r="AG69" s="190"/>
      <c r="AH69" s="531"/>
      <c r="AI69" s="190"/>
    </row>
    <row r="70" spans="1:35" ht="12.75" customHeight="1">
      <c r="A70" s="937"/>
      <c r="B70" s="937"/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616"/>
      <c r="AG70" s="190"/>
      <c r="AH70" s="531"/>
      <c r="AI70" s="190"/>
    </row>
    <row r="71" spans="1:35" ht="22.5" customHeight="1">
      <c r="A71" s="188" t="s">
        <v>185</v>
      </c>
      <c r="X71" s="616"/>
      <c r="AD71" s="378" t="str">
        <f>'общие сведения'!M10</f>
        <v>порог для __первая__воспитатель ДОО</v>
      </c>
      <c r="AG71" s="190"/>
      <c r="AH71" s="531"/>
      <c r="AI71" s="190"/>
    </row>
    <row r="72" spans="1:35" ht="12.75">
      <c r="A72" s="938" t="s">
        <v>186</v>
      </c>
      <c r="B72" s="938"/>
      <c r="C72" s="938"/>
      <c r="D72" s="938"/>
      <c r="E72" s="938"/>
      <c r="F72" s="938"/>
      <c r="G72" s="938"/>
      <c r="H72" s="938"/>
      <c r="I72" s="938"/>
      <c r="J72" s="938"/>
      <c r="K72" s="938"/>
      <c r="L72" s="938"/>
      <c r="M72" s="938"/>
      <c r="N72" s="938"/>
      <c r="O72" s="938"/>
      <c r="P72" s="938"/>
      <c r="Q72" s="938"/>
      <c r="R72" s="938"/>
      <c r="S72" s="938"/>
      <c r="T72" s="938"/>
      <c r="U72" s="938"/>
      <c r="V72" s="938"/>
      <c r="W72" s="938"/>
      <c r="X72" s="616"/>
      <c r="AB72" s="371" t="s">
        <v>417</v>
      </c>
      <c r="AC72" s="5">
        <f>z_kateg</f>
      </c>
      <c r="AD72" s="302">
        <f>'общие сведения'!P10</f>
        <v>210</v>
      </c>
      <c r="AG72" s="190"/>
      <c r="AH72" s="531"/>
      <c r="AI72" s="190"/>
    </row>
    <row r="73" spans="1:35" ht="12.75">
      <c r="A73" s="938"/>
      <c r="B73" s="938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8"/>
      <c r="V73" s="938"/>
      <c r="W73" s="938"/>
      <c r="X73" s="616"/>
      <c r="AB73" s="371" t="str">
        <f>AB159</f>
        <v>наличие внешних мониторингов </v>
      </c>
      <c r="AC73" s="5" t="str">
        <f>AB160</f>
        <v>нет</v>
      </c>
      <c r="AG73" s="190"/>
      <c r="AH73" s="531"/>
      <c r="AI73" s="190"/>
    </row>
    <row r="74" spans="1:35" ht="12.75">
      <c r="A74" s="938"/>
      <c r="B74" s="938"/>
      <c r="C74" s="938"/>
      <c r="D74" s="938"/>
      <c r="E74" s="938"/>
      <c r="F74" s="938"/>
      <c r="G74" s="938"/>
      <c r="H74" s="938"/>
      <c r="I74" s="938"/>
      <c r="J74" s="938"/>
      <c r="K74" s="938"/>
      <c r="L74" s="938"/>
      <c r="M74" s="938"/>
      <c r="N74" s="938"/>
      <c r="O74" s="938"/>
      <c r="P74" s="938"/>
      <c r="Q74" s="938"/>
      <c r="R74" s="938"/>
      <c r="S74" s="938"/>
      <c r="T74" s="938"/>
      <c r="U74" s="938"/>
      <c r="V74" s="938"/>
      <c r="W74" s="938"/>
      <c r="X74" s="616"/>
      <c r="AG74" s="190"/>
      <c r="AH74" s="531"/>
      <c r="AI74" s="190"/>
    </row>
    <row r="75" spans="1:65" ht="12.75" customHeight="1">
      <c r="A75" s="181" t="s">
        <v>187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616"/>
      <c r="Y75" s="192"/>
      <c r="Z75" s="264"/>
      <c r="AB75" s="264" t="s">
        <v>209</v>
      </c>
      <c r="AC75" s="264" t="s">
        <v>281</v>
      </c>
      <c r="AD75" s="301"/>
      <c r="AE75" s="559" t="s">
        <v>407</v>
      </c>
      <c r="AG75" s="190"/>
      <c r="AH75" s="531"/>
      <c r="AI75" s="190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</row>
    <row r="76" spans="1:35" ht="12.75">
      <c r="A76" s="260" t="s">
        <v>188</v>
      </c>
      <c r="B76" s="181" t="str">
        <f>B112</f>
        <v>Продуктивность воспитательной деятельности</v>
      </c>
      <c r="T76" s="158"/>
      <c r="U76" s="258">
        <f>IF(FIO="","",итого_1)</f>
      </c>
      <c r="V76" s="160"/>
      <c r="W76" s="187" t="s">
        <v>189</v>
      </c>
      <c r="X76" s="616"/>
      <c r="Z76" s="370" t="s">
        <v>408</v>
      </c>
      <c r="AB76" s="282">
        <f>AB112</f>
        <v>100</v>
      </c>
      <c r="AC76" s="330">
        <f>AC112</f>
        <v>60</v>
      </c>
      <c r="AD76" s="203"/>
      <c r="AE76" s="560" t="b">
        <f>U76&gt;=AC76</f>
        <v>1</v>
      </c>
      <c r="AF76" s="316">
        <f>IF(AG76&gt;=AC76,1,0)</f>
        <v>0</v>
      </c>
      <c r="AG76" s="190"/>
      <c r="AH76" s="531"/>
      <c r="AI76" s="190"/>
    </row>
    <row r="77" spans="1:35" ht="12.75">
      <c r="A77" s="260" t="s">
        <v>190</v>
      </c>
      <c r="B77" s="181" t="str">
        <f>B163</f>
        <v>Продуктивность деятельности педагогического работника по развитию воспитанников</v>
      </c>
      <c r="T77" s="158"/>
      <c r="U77" s="254">
        <f>IF(FIO="","",итого_2)</f>
      </c>
      <c r="V77" s="332"/>
      <c r="W77" s="187" t="s">
        <v>189</v>
      </c>
      <c r="X77" s="616"/>
      <c r="Z77" s="370" t="s">
        <v>409</v>
      </c>
      <c r="AB77" s="282">
        <f>AB163</f>
        <v>340</v>
      </c>
      <c r="AC77" s="330">
        <f>AC163</f>
        <v>20</v>
      </c>
      <c r="AD77" s="203"/>
      <c r="AE77" s="560" t="b">
        <f>U77&gt;=AC77</f>
        <v>1</v>
      </c>
      <c r="AF77" s="316">
        <f>IF(AG77&gt;=AC77,1,0)</f>
        <v>0</v>
      </c>
      <c r="AG77" s="190"/>
      <c r="AH77" s="531"/>
      <c r="AI77" s="190"/>
    </row>
    <row r="78" spans="1:35" ht="12.75">
      <c r="A78" s="260" t="s">
        <v>191</v>
      </c>
      <c r="B78" s="181" t="str">
        <f>B224</f>
        <v>Продуктивность личного вклада педагогического работника в повышение качества образования</v>
      </c>
      <c r="T78" s="158"/>
      <c r="U78" s="255">
        <f>IF(FIO="","",итого_3)</f>
      </c>
      <c r="V78" s="332"/>
      <c r="W78" s="187" t="s">
        <v>189</v>
      </c>
      <c r="X78" s="616"/>
      <c r="Z78" s="370" t="s">
        <v>410</v>
      </c>
      <c r="AB78" s="282">
        <f>AB225</f>
        <v>930</v>
      </c>
      <c r="AC78" s="330">
        <f>AC225</f>
        <v>120</v>
      </c>
      <c r="AD78" s="203"/>
      <c r="AE78" s="560" t="b">
        <f>U78&gt;=AC78</f>
        <v>1</v>
      </c>
      <c r="AF78" s="316">
        <f>IF(AG78&gt;=AC78,1,0)</f>
        <v>0</v>
      </c>
      <c r="AG78" s="190"/>
      <c r="AH78" s="531"/>
      <c r="AI78" s="190"/>
    </row>
    <row r="79" spans="1:35" ht="12.75">
      <c r="A79" s="260" t="s">
        <v>192</v>
      </c>
      <c r="B79" s="181" t="str">
        <f>B405</f>
        <v>Профессиональная компетентность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58"/>
      <c r="U79" s="255">
        <f>IF(FIO="","",итого_4)</f>
      </c>
      <c r="V79" s="332"/>
      <c r="W79" s="187" t="s">
        <v>189</v>
      </c>
      <c r="X79" s="616"/>
      <c r="Z79" s="370" t="s">
        <v>411</v>
      </c>
      <c r="AB79" s="282">
        <f>AB405</f>
        <v>250</v>
      </c>
      <c r="AC79" s="282">
        <f>AC405</f>
        <v>0</v>
      </c>
      <c r="AD79" s="311"/>
      <c r="AE79" s="560" t="b">
        <f>U79&gt;=AC79</f>
        <v>1</v>
      </c>
      <c r="AF79" s="316">
        <f>IF(AG79&gt;=AC79,1,0)</f>
        <v>1</v>
      </c>
      <c r="AG79" s="190"/>
      <c r="AH79" s="531"/>
      <c r="AI79" s="190"/>
    </row>
    <row r="80" spans="21:35" ht="3" customHeight="1">
      <c r="U80" s="260"/>
      <c r="V80" s="260"/>
      <c r="W80" s="193"/>
      <c r="X80" s="616"/>
      <c r="AD80" s="301"/>
      <c r="AG80" s="190"/>
      <c r="AH80" s="531"/>
      <c r="AI80" s="190"/>
    </row>
    <row r="81" spans="2:35" ht="12.75">
      <c r="B81" s="235" t="s">
        <v>278</v>
      </c>
      <c r="T81" s="158"/>
      <c r="U81" s="252">
        <f>IF(FIO="","",Всего)</f>
      </c>
      <c r="V81" s="183"/>
      <c r="W81" s="187" t="s">
        <v>189</v>
      </c>
      <c r="X81" s="616"/>
      <c r="Y81" s="381" t="s">
        <v>419</v>
      </c>
      <c r="Z81" s="382">
        <f>IF(FIO="","",SUM(U76:U79))</f>
      </c>
      <c r="AA81" s="5" t="s">
        <v>418</v>
      </c>
      <c r="AB81" s="282">
        <f>SUM(AB76:AB79)</f>
        <v>1620</v>
      </c>
      <c r="AC81" s="330">
        <f>SUM(AC76:AC79)</f>
        <v>200</v>
      </c>
      <c r="AD81" s="312"/>
      <c r="AE81" s="561" t="str">
        <f>IF(AF81&gt;3," СООТВЕТСТВУЕТ","  НЕ СООТВЕТСТВУЕТ")</f>
        <v>  НЕ СООТВЕТСТВУЕТ</v>
      </c>
      <c r="AF81" s="316">
        <f>SUM(AF76:AF80)</f>
        <v>1</v>
      </c>
      <c r="AG81" s="190"/>
      <c r="AH81" s="531"/>
      <c r="AI81" s="190"/>
    </row>
    <row r="82" spans="23:35" ht="12" customHeight="1">
      <c r="W82" s="192"/>
      <c r="X82" s="616"/>
      <c r="Y82" s="379" t="s">
        <v>507</v>
      </c>
      <c r="Z82" s="380">
        <f>IF(H84="","",IF(Всего&gt;=AD72," СООТВЕТСТВУЕТ","  НЕ СООТВЕТСТВУЕТ"))</f>
      </c>
      <c r="AD82" s="309"/>
      <c r="AE82" s="562"/>
      <c r="AF82" s="562"/>
      <c r="AG82" s="190"/>
      <c r="AH82" s="531"/>
      <c r="AI82" s="190"/>
    </row>
    <row r="83" spans="1:35" s="180" customFormat="1" ht="12.75">
      <c r="A83" s="349" t="s">
        <v>460</v>
      </c>
      <c r="B83" s="341"/>
      <c r="C83" s="341"/>
      <c r="D83" s="341"/>
      <c r="E83" s="415"/>
      <c r="F83" s="415"/>
      <c r="G83" s="350"/>
      <c r="H83" s="350"/>
      <c r="I83" s="350"/>
      <c r="K83" s="416">
        <f>IF(OR(Всего="",FIO=""),"",Y35&amp;Z82)</f>
      </c>
      <c r="L83" s="350"/>
      <c r="M83" s="350"/>
      <c r="N83" s="350"/>
      <c r="O83" s="350"/>
      <c r="P83" s="355"/>
      <c r="Q83" s="342"/>
      <c r="R83" s="342"/>
      <c r="S83" s="386" t="s">
        <v>461</v>
      </c>
      <c r="V83" s="351"/>
      <c r="X83" s="616"/>
      <c r="Z83" s="380" t="str">
        <f>CONCATENATE(A83,K83,S83)</f>
        <v>Уровень квалификации    требованиям,  </v>
      </c>
      <c r="AE83" s="316"/>
      <c r="AF83" s="316"/>
      <c r="AG83" s="190"/>
      <c r="AH83" s="531"/>
      <c r="AI83" s="190"/>
    </row>
    <row r="84" spans="1:35" s="180" customFormat="1" ht="12.75">
      <c r="A84" s="349" t="s">
        <v>459</v>
      </c>
      <c r="B84" s="341"/>
      <c r="C84" s="341"/>
      <c r="D84" s="341"/>
      <c r="E84" s="341"/>
      <c r="G84" s="383"/>
      <c r="H84" s="253">
        <f>IF(OR(G56="",FIO="",Z81=""),"",IF(G56="первая","первой","высшей"))</f>
      </c>
      <c r="I84" s="259"/>
      <c r="J84" s="259"/>
      <c r="K84" s="352" t="s">
        <v>458</v>
      </c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X84" s="616"/>
      <c r="Z84" s="380" t="str">
        <f>CONCATENATE(A84,H84,K84)</f>
        <v>предъявляемым к заявленной      квалификационной категории. </v>
      </c>
      <c r="AE84" s="316"/>
      <c r="AF84" s="316"/>
      <c r="AG84" s="190"/>
      <c r="AH84" s="531"/>
      <c r="AI84" s="190"/>
    </row>
    <row r="85" spans="1:35" s="180" customFormat="1" ht="9.75" customHeight="1">
      <c r="A85" s="270"/>
      <c r="X85" s="616"/>
      <c r="AE85" s="316"/>
      <c r="AF85" s="316"/>
      <c r="AG85" s="190"/>
      <c r="AH85" s="531"/>
      <c r="AI85" s="190"/>
    </row>
    <row r="86" spans="1:35" s="180" customFormat="1" ht="12.75">
      <c r="A86" s="606" t="s">
        <v>163</v>
      </c>
      <c r="X86" s="616"/>
      <c r="Y86" s="179" t="s">
        <v>258</v>
      </c>
      <c r="Z86" s="388">
        <f>'общие сведения'!A126</f>
      </c>
      <c r="AE86" s="316"/>
      <c r="AF86" s="316"/>
      <c r="AG86" s="190"/>
      <c r="AH86" s="531"/>
      <c r="AI86" s="190"/>
    </row>
    <row r="87" spans="1:35" ht="12.75" customHeight="1">
      <c r="A87" s="937">
        <f>IF(OR(FIO="",ISERR(Z86)),"",Z86)</f>
      </c>
      <c r="B87" s="937"/>
      <c r="C87" s="937"/>
      <c r="D87" s="937"/>
      <c r="E87" s="937"/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616"/>
      <c r="AG87" s="190"/>
      <c r="AH87" s="531"/>
      <c r="AI87" s="190"/>
    </row>
    <row r="88" spans="1:35" ht="12.75" customHeight="1">
      <c r="A88" s="937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616"/>
      <c r="AG88" s="190"/>
      <c r="AH88" s="531"/>
      <c r="AI88" s="190"/>
    </row>
    <row r="89" spans="1:35" ht="12.75" customHeight="1">
      <c r="A89" s="937"/>
      <c r="B89" s="937"/>
      <c r="C89" s="937"/>
      <c r="D89" s="937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616"/>
      <c r="AG89" s="190"/>
      <c r="AH89" s="531"/>
      <c r="AI89" s="190"/>
    </row>
    <row r="90" spans="1:35" ht="3" customHeight="1">
      <c r="A90" s="937"/>
      <c r="B90" s="937"/>
      <c r="C90" s="937"/>
      <c r="D90" s="937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616"/>
      <c r="AG90" s="190"/>
      <c r="AH90" s="531"/>
      <c r="AI90" s="190"/>
    </row>
    <row r="91" spans="1:56" ht="19.5" customHeight="1">
      <c r="A91" s="184" t="s">
        <v>52</v>
      </c>
      <c r="B91" s="184"/>
      <c r="C91" s="195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94"/>
      <c r="T91" s="194"/>
      <c r="U91" s="194"/>
      <c r="V91" s="194"/>
      <c r="W91" s="194"/>
      <c r="X91" s="616"/>
      <c r="Y91" s="194"/>
      <c r="Z91" s="194"/>
      <c r="AA91" s="194"/>
      <c r="AB91" s="194"/>
      <c r="AC91" s="194"/>
      <c r="AD91" s="194"/>
      <c r="AE91" s="563"/>
      <c r="AF91" s="563"/>
      <c r="AG91" s="194"/>
      <c r="AH91" s="531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</row>
    <row r="92" spans="1:56" ht="12.75">
      <c r="A92" s="184" t="s">
        <v>196</v>
      </c>
      <c r="B92" s="184"/>
      <c r="C92" s="195"/>
      <c r="D92" s="196"/>
      <c r="E92" s="196"/>
      <c r="F92" s="196"/>
      <c r="G92" s="184"/>
      <c r="H92" s="933">
        <f>IF(FIO&lt;&gt;"",IF('общие сведения'!M109&lt;&gt;"",'общие сведения'!M109,""),"")</f>
      </c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616"/>
      <c r="Y92" s="194"/>
      <c r="Z92" s="194"/>
      <c r="AA92" s="194"/>
      <c r="AB92" s="194"/>
      <c r="AC92" s="194"/>
      <c r="AD92" s="194"/>
      <c r="AE92" s="563"/>
      <c r="AF92" s="563"/>
      <c r="AG92" s="194"/>
      <c r="AH92" s="531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</row>
    <row r="93" spans="1:56" ht="12.75" customHeight="1">
      <c r="A93" s="184" t="s">
        <v>279</v>
      </c>
      <c r="B93" s="184"/>
      <c r="C93" s="184"/>
      <c r="D93" s="14"/>
      <c r="E93" s="216"/>
      <c r="F93" s="216"/>
      <c r="G93" s="216"/>
      <c r="H93" s="939" t="s">
        <v>56</v>
      </c>
      <c r="I93" s="939"/>
      <c r="J93" s="939"/>
      <c r="K93" s="939"/>
      <c r="L93" s="939"/>
      <c r="M93" s="939"/>
      <c r="N93" s="939"/>
      <c r="O93" s="939"/>
      <c r="P93" s="939"/>
      <c r="Q93" s="939"/>
      <c r="R93" s="939"/>
      <c r="S93" s="939"/>
      <c r="T93" s="939"/>
      <c r="U93" s="939"/>
      <c r="V93" s="939"/>
      <c r="W93" s="939"/>
      <c r="X93" s="616"/>
      <c r="Y93" s="216"/>
      <c r="Z93" s="216"/>
      <c r="AA93" s="216"/>
      <c r="AB93" s="216"/>
      <c r="AC93" s="216"/>
      <c r="AD93" s="216"/>
      <c r="AE93" s="564"/>
      <c r="AF93" s="564"/>
      <c r="AG93" s="216"/>
      <c r="AH93" s="531"/>
      <c r="AI93" s="216"/>
      <c r="AJ93" s="216"/>
      <c r="AK93" s="216"/>
      <c r="AL93" s="216"/>
      <c r="AM93" s="216"/>
      <c r="AN93" s="216"/>
      <c r="AO93" s="216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</row>
    <row r="94" spans="1:34" ht="12.75">
      <c r="A94" s="184" t="s">
        <v>280</v>
      </c>
      <c r="B94" s="184"/>
      <c r="C94" s="184"/>
      <c r="D94" s="196"/>
      <c r="E94" s="196"/>
      <c r="F94" s="196"/>
      <c r="G94" s="184"/>
      <c r="H94" s="933">
        <f>IF(FIO&lt;&gt;"",IF('общие сведения'!M111&lt;&gt;"",'общие сведения'!M111,""),"")</f>
      </c>
      <c r="I94" s="933"/>
      <c r="J94" s="933"/>
      <c r="K94" s="933"/>
      <c r="L94" s="933"/>
      <c r="M94" s="933"/>
      <c r="N94" s="933"/>
      <c r="O94" s="933"/>
      <c r="P94" s="933"/>
      <c r="Q94" s="933"/>
      <c r="R94" s="933"/>
      <c r="S94" s="933"/>
      <c r="T94" s="933"/>
      <c r="U94" s="933"/>
      <c r="V94" s="933"/>
      <c r="W94" s="933"/>
      <c r="X94" s="616"/>
      <c r="AH94" s="531"/>
    </row>
    <row r="95" spans="8:34" ht="13.5">
      <c r="H95" s="939" t="s">
        <v>56</v>
      </c>
      <c r="I95" s="939"/>
      <c r="J95" s="939"/>
      <c r="K95" s="939"/>
      <c r="L95" s="939"/>
      <c r="M95" s="939"/>
      <c r="N95" s="939"/>
      <c r="O95" s="939"/>
      <c r="P95" s="939"/>
      <c r="Q95" s="939"/>
      <c r="R95" s="939"/>
      <c r="S95" s="939"/>
      <c r="T95" s="939"/>
      <c r="U95" s="939"/>
      <c r="V95" s="939"/>
      <c r="W95" s="939"/>
      <c r="X95" s="616"/>
      <c r="AH95" s="531"/>
    </row>
    <row r="96" spans="4:34" ht="12.75">
      <c r="D96" s="158"/>
      <c r="E96" s="158"/>
      <c r="F96" s="158"/>
      <c r="H96" s="933">
        <f>IF(FIO&lt;&gt;"",IF('общие сведения'!M113&lt;&gt;"",'общие сведения'!M113,""),"")</f>
      </c>
      <c r="I96" s="933"/>
      <c r="J96" s="933"/>
      <c r="K96" s="933"/>
      <c r="L96" s="933"/>
      <c r="M96" s="933"/>
      <c r="N96" s="933"/>
      <c r="O96" s="933"/>
      <c r="P96" s="933"/>
      <c r="Q96" s="933"/>
      <c r="R96" s="933"/>
      <c r="S96" s="933"/>
      <c r="T96" s="933"/>
      <c r="U96" s="933"/>
      <c r="V96" s="933"/>
      <c r="W96" s="933"/>
      <c r="X96" s="616"/>
      <c r="AH96" s="531"/>
    </row>
    <row r="97" spans="8:34" ht="13.5">
      <c r="H97" s="947" t="s">
        <v>56</v>
      </c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616"/>
      <c r="AH97" s="531"/>
    </row>
    <row r="98" spans="4:34" ht="12.75" hidden="1">
      <c r="D98" s="158"/>
      <c r="E98" s="158"/>
      <c r="F98" s="158"/>
      <c r="H98" s="933">
        <f>IF(FIO&lt;&gt;"",IF('общие сведения'!M115&lt;&gt;"",'общие сведения'!M115,""),"")</f>
      </c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33"/>
      <c r="U98" s="933"/>
      <c r="V98" s="933"/>
      <c r="W98" s="933"/>
      <c r="X98" s="616"/>
      <c r="AH98" s="531"/>
    </row>
    <row r="99" spans="8:34" ht="13.5" hidden="1">
      <c r="H99" s="947" t="s">
        <v>56</v>
      </c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616"/>
      <c r="AH99" s="531"/>
    </row>
    <row r="100" spans="2:40" ht="12.75">
      <c r="B100" s="184"/>
      <c r="C100" s="1070" t="s">
        <v>197</v>
      </c>
      <c r="D100" s="1070"/>
      <c r="E100" s="1070"/>
      <c r="F100" s="1070"/>
      <c r="G100" s="1070"/>
      <c r="H100" s="1070"/>
      <c r="I100" s="1070"/>
      <c r="J100" s="1070"/>
      <c r="K100" s="1070"/>
      <c r="L100" s="1074" t="str">
        <f>'общие сведения'!K118</f>
        <v>« __ » ___________  20__ г.</v>
      </c>
      <c r="M100" s="1074"/>
      <c r="N100" s="1074"/>
      <c r="O100" s="1074"/>
      <c r="P100" s="1074"/>
      <c r="Q100" s="1074"/>
      <c r="R100" s="1074"/>
      <c r="S100" s="333"/>
      <c r="T100" s="333"/>
      <c r="U100" s="333"/>
      <c r="V100" s="333"/>
      <c r="X100" s="616"/>
      <c r="AH100" s="531"/>
      <c r="AI100" s="184"/>
      <c r="AJ100" s="184"/>
      <c r="AK100" s="184"/>
      <c r="AL100" s="184"/>
      <c r="AM100" s="184"/>
      <c r="AN100" s="184"/>
    </row>
    <row r="101" spans="1:40" ht="3.75" customHeight="1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616"/>
      <c r="Y101" s="184"/>
      <c r="Z101" s="184"/>
      <c r="AA101" s="184"/>
      <c r="AH101" s="531"/>
      <c r="AI101" s="184"/>
      <c r="AJ101" s="184"/>
      <c r="AK101" s="184"/>
      <c r="AL101" s="184"/>
      <c r="AM101" s="184"/>
      <c r="AN101" s="184"/>
    </row>
    <row r="102" spans="1:34" ht="3" customHeigh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616"/>
      <c r="Y102" s="184"/>
      <c r="Z102" s="184"/>
      <c r="AA102" s="184"/>
      <c r="AH102" s="531"/>
    </row>
    <row r="103" spans="1:34" ht="3" customHeight="1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616"/>
      <c r="AH103" s="531"/>
    </row>
    <row r="104" spans="1:34" ht="12.75">
      <c r="A104" s="272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616"/>
      <c r="AH104" s="531"/>
    </row>
    <row r="105" spans="4:34" ht="14.25">
      <c r="D105" s="237" t="s">
        <v>198</v>
      </c>
      <c r="X105" s="616"/>
      <c r="AH105" s="531"/>
    </row>
    <row r="106" spans="24:34" ht="3" customHeight="1">
      <c r="X106" s="616"/>
      <c r="AH106" s="531"/>
    </row>
    <row r="107" spans="2:34" ht="12.75">
      <c r="B107" s="5" t="s">
        <v>199</v>
      </c>
      <c r="F107" s="158"/>
      <c r="G107" s="158"/>
      <c r="H107" s="197"/>
      <c r="I107" s="197"/>
      <c r="J107" s="236"/>
      <c r="K107" s="236"/>
      <c r="L107" s="946">
        <f>IF(FIO&lt;&gt;"",FIO,"")</f>
      </c>
      <c r="M107" s="946"/>
      <c r="N107" s="946"/>
      <c r="O107" s="946"/>
      <c r="P107" s="946"/>
      <c r="Q107" s="946"/>
      <c r="R107" s="946"/>
      <c r="S107" s="946"/>
      <c r="T107" s="946"/>
      <c r="U107" s="946"/>
      <c r="V107" s="946"/>
      <c r="W107" s="946"/>
      <c r="X107" s="616"/>
      <c r="AH107" s="531"/>
    </row>
    <row r="108" spans="6:34" ht="12.75" customHeight="1">
      <c r="F108" s="914" t="s">
        <v>200</v>
      </c>
      <c r="G108" s="914"/>
      <c r="H108" s="914"/>
      <c r="I108" s="914"/>
      <c r="J108" s="199"/>
      <c r="L108" s="947" t="s">
        <v>56</v>
      </c>
      <c r="M108" s="947"/>
      <c r="N108" s="947"/>
      <c r="O108" s="947"/>
      <c r="P108" s="947"/>
      <c r="Q108" s="947"/>
      <c r="R108" s="947"/>
      <c r="S108" s="947"/>
      <c r="T108" s="335"/>
      <c r="U108" s="335"/>
      <c r="V108" s="335"/>
      <c r="W108" s="335"/>
      <c r="X108" s="616"/>
      <c r="AH108" s="531"/>
    </row>
    <row r="109" spans="7:34" ht="5.25" customHeight="1">
      <c r="G109" s="198"/>
      <c r="P109" s="216"/>
      <c r="Q109" s="216"/>
      <c r="R109" s="216"/>
      <c r="X109" s="616"/>
      <c r="AH109" s="531"/>
    </row>
    <row r="110" spans="1:34" ht="15">
      <c r="A110" s="955" t="s">
        <v>201</v>
      </c>
      <c r="B110" s="955"/>
      <c r="C110" s="955"/>
      <c r="D110" s="955"/>
      <c r="E110" s="955"/>
      <c r="F110" s="955"/>
      <c r="G110" s="955"/>
      <c r="H110" s="955"/>
      <c r="I110" s="955"/>
      <c r="J110" s="955"/>
      <c r="K110" s="955"/>
      <c r="L110" s="955"/>
      <c r="M110" s="955"/>
      <c r="N110" s="955"/>
      <c r="O110" s="955"/>
      <c r="P110" s="955"/>
      <c r="Q110" s="955"/>
      <c r="R110" s="955"/>
      <c r="S110" s="955"/>
      <c r="T110" s="955"/>
      <c r="U110" s="955"/>
      <c r="V110" s="955"/>
      <c r="W110" s="955"/>
      <c r="X110" s="616"/>
      <c r="Y110" s="200" t="s">
        <v>208</v>
      </c>
      <c r="AA110" s="264" t="s">
        <v>282</v>
      </c>
      <c r="AB110" s="264" t="s">
        <v>209</v>
      </c>
      <c r="AC110" s="296" t="s">
        <v>281</v>
      </c>
      <c r="AE110" s="559" t="s">
        <v>407</v>
      </c>
      <c r="AH110" s="531"/>
    </row>
    <row r="111" spans="1:45" ht="9" customHeight="1">
      <c r="A111" s="273"/>
      <c r="X111" s="616"/>
      <c r="AH111" s="531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 ht="15">
      <c r="A112" s="263" t="s">
        <v>264</v>
      </c>
      <c r="B112" s="273" t="s">
        <v>532</v>
      </c>
      <c r="X112" s="616"/>
      <c r="Y112" s="303" t="str">
        <f>A112</f>
        <v>1. </v>
      </c>
      <c r="Z112" s="284" t="s">
        <v>284</v>
      </c>
      <c r="AA112" s="281">
        <f>SUM(Y114:Y162)</f>
        <v>0</v>
      </c>
      <c r="AB112" s="282">
        <f>SUM(Z114:Z161)</f>
        <v>100</v>
      </c>
      <c r="AC112" s="330">
        <f>SUM(AA114:AA161)</f>
        <v>60</v>
      </c>
      <c r="AE112" s="559" t="b">
        <f>итого_1&gt;=AC112</f>
        <v>0</v>
      </c>
      <c r="AH112" s="531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 ht="13.5">
      <c r="A113" s="845" t="s">
        <v>202</v>
      </c>
      <c r="B113" s="845"/>
      <c r="C113" s="845"/>
      <c r="D113" s="845"/>
      <c r="E113" s="845"/>
      <c r="F113" s="845"/>
      <c r="G113" s="845"/>
      <c r="H113" s="845"/>
      <c r="I113" s="845"/>
      <c r="J113" s="845"/>
      <c r="K113" s="845"/>
      <c r="L113" s="845"/>
      <c r="M113" s="845"/>
      <c r="N113" s="845"/>
      <c r="O113" s="845"/>
      <c r="P113" s="845"/>
      <c r="Q113" s="845"/>
      <c r="R113" s="845"/>
      <c r="S113" s="845"/>
      <c r="T113" s="845"/>
      <c r="U113" s="845"/>
      <c r="V113" s="845"/>
      <c r="W113" s="845"/>
      <c r="X113" s="616"/>
      <c r="AG113" s="14"/>
      <c r="AH113" s="531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ht="12.75" customHeight="1">
      <c r="A114" s="217" t="s">
        <v>203</v>
      </c>
      <c r="B114" s="821" t="s">
        <v>599</v>
      </c>
      <c r="C114" s="821"/>
      <c r="D114" s="821"/>
      <c r="E114" s="821"/>
      <c r="F114" s="821"/>
      <c r="G114" s="821"/>
      <c r="H114" s="821"/>
      <c r="I114" s="821"/>
      <c r="J114" s="821"/>
      <c r="K114" s="821"/>
      <c r="L114" s="821"/>
      <c r="M114" s="821"/>
      <c r="N114" s="821"/>
      <c r="O114" s="821"/>
      <c r="P114" s="821"/>
      <c r="Q114" s="821"/>
      <c r="R114" s="821"/>
      <c r="S114" s="821"/>
      <c r="T114" s="821"/>
      <c r="U114" s="821"/>
      <c r="V114" s="821"/>
      <c r="W114" s="821"/>
      <c r="X114" s="616"/>
      <c r="Z114" s="14"/>
      <c r="AA114" s="14"/>
      <c r="AB114" s="14"/>
      <c r="AC114" s="14"/>
      <c r="AD114" s="14"/>
      <c r="AG114" s="14"/>
      <c r="AH114" s="531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ht="12.75" customHeight="1">
      <c r="A115" s="274"/>
      <c r="B115" s="821"/>
      <c r="C115" s="821"/>
      <c r="D115" s="821"/>
      <c r="E115" s="821"/>
      <c r="F115" s="821"/>
      <c r="G115" s="821"/>
      <c r="H115" s="821"/>
      <c r="I115" s="821"/>
      <c r="J115" s="821"/>
      <c r="K115" s="821"/>
      <c r="L115" s="821"/>
      <c r="M115" s="821"/>
      <c r="N115" s="821"/>
      <c r="O115" s="821"/>
      <c r="P115" s="821"/>
      <c r="Q115" s="821"/>
      <c r="R115" s="821"/>
      <c r="S115" s="821"/>
      <c r="T115" s="821"/>
      <c r="U115" s="821"/>
      <c r="V115" s="821"/>
      <c r="W115" s="821"/>
      <c r="X115" s="616"/>
      <c r="Z115" s="14"/>
      <c r="AA115" s="14"/>
      <c r="AB115" s="14"/>
      <c r="AC115" s="14"/>
      <c r="AD115" s="14"/>
      <c r="AG115" s="14"/>
      <c r="AH115" s="531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ht="6" customHeight="1">
      <c r="A116" s="274"/>
      <c r="B116" s="821"/>
      <c r="C116" s="821"/>
      <c r="D116" s="821"/>
      <c r="E116" s="821"/>
      <c r="F116" s="821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1"/>
      <c r="X116" s="616"/>
      <c r="Z116" s="14"/>
      <c r="AA116" s="14"/>
      <c r="AB116" s="14"/>
      <c r="AC116" s="14"/>
      <c r="AD116" s="14"/>
      <c r="AG116" s="14"/>
      <c r="AH116" s="531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ht="12.75" customHeight="1">
      <c r="A117" s="274"/>
      <c r="B117" s="821"/>
      <c r="C117" s="821"/>
      <c r="D117" s="821"/>
      <c r="E117" s="821"/>
      <c r="F117" s="821"/>
      <c r="G117" s="821"/>
      <c r="H117" s="821"/>
      <c r="I117" s="821"/>
      <c r="J117" s="821"/>
      <c r="K117" s="821"/>
      <c r="L117" s="821"/>
      <c r="M117" s="821"/>
      <c r="N117" s="821"/>
      <c r="O117" s="821"/>
      <c r="P117" s="821"/>
      <c r="Q117" s="821"/>
      <c r="R117" s="821"/>
      <c r="S117" s="821"/>
      <c r="T117" s="821"/>
      <c r="U117" s="821"/>
      <c r="V117" s="821"/>
      <c r="W117" s="821"/>
      <c r="X117" s="616"/>
      <c r="Z117" s="14"/>
      <c r="AA117" s="14"/>
      <c r="AB117" s="14"/>
      <c r="AC117" s="14"/>
      <c r="AD117" s="14"/>
      <c r="AE117" s="329"/>
      <c r="AF117" s="329"/>
      <c r="AG117" s="14"/>
      <c r="AH117" s="531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ht="12.75" customHeight="1">
      <c r="A118" s="217" t="s">
        <v>203</v>
      </c>
      <c r="B118" s="821" t="s">
        <v>598</v>
      </c>
      <c r="C118" s="821"/>
      <c r="D118" s="821"/>
      <c r="E118" s="821"/>
      <c r="F118" s="821"/>
      <c r="G118" s="821"/>
      <c r="H118" s="821"/>
      <c r="I118" s="821"/>
      <c r="J118" s="821"/>
      <c r="K118" s="821"/>
      <c r="L118" s="821"/>
      <c r="M118" s="821"/>
      <c r="N118" s="821"/>
      <c r="O118" s="821"/>
      <c r="P118" s="821"/>
      <c r="Q118" s="821"/>
      <c r="R118" s="821"/>
      <c r="S118" s="821"/>
      <c r="T118" s="821"/>
      <c r="U118" s="821"/>
      <c r="V118" s="821"/>
      <c r="W118" s="821"/>
      <c r="X118" s="616"/>
      <c r="Z118" s="14"/>
      <c r="AA118" s="14"/>
      <c r="AB118" s="14"/>
      <c r="AC118" s="14"/>
      <c r="AD118" s="14"/>
      <c r="AE118" s="329"/>
      <c r="AF118" s="329"/>
      <c r="AG118" s="14"/>
      <c r="AH118" s="531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2.75" customHeight="1">
      <c r="B119" s="821"/>
      <c r="C119" s="821"/>
      <c r="D119" s="821"/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1"/>
      <c r="T119" s="821"/>
      <c r="U119" s="821"/>
      <c r="V119" s="821"/>
      <c r="W119" s="821"/>
      <c r="X119" s="616"/>
      <c r="Z119" s="14"/>
      <c r="AA119" s="14"/>
      <c r="AB119" s="14"/>
      <c r="AC119" s="14"/>
      <c r="AD119" s="14"/>
      <c r="AE119" s="329"/>
      <c r="AF119" s="329"/>
      <c r="AG119" s="14"/>
      <c r="AH119" s="531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2.75" customHeight="1">
      <c r="B120" s="821"/>
      <c r="C120" s="821"/>
      <c r="D120" s="821"/>
      <c r="E120" s="821"/>
      <c r="F120" s="821"/>
      <c r="G120" s="821"/>
      <c r="H120" s="821"/>
      <c r="I120" s="821"/>
      <c r="J120" s="821"/>
      <c r="K120" s="821"/>
      <c r="L120" s="821"/>
      <c r="M120" s="821"/>
      <c r="N120" s="821"/>
      <c r="O120" s="821"/>
      <c r="P120" s="821"/>
      <c r="Q120" s="821"/>
      <c r="R120" s="821"/>
      <c r="S120" s="821"/>
      <c r="T120" s="821"/>
      <c r="U120" s="821"/>
      <c r="V120" s="821"/>
      <c r="W120" s="821"/>
      <c r="X120" s="616"/>
      <c r="Z120" s="14"/>
      <c r="AA120" s="14"/>
      <c r="AB120" s="14"/>
      <c r="AC120" s="14"/>
      <c r="AD120" s="14"/>
      <c r="AE120" s="329"/>
      <c r="AF120" s="329"/>
      <c r="AG120" s="14"/>
      <c r="AH120" s="531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9" customHeight="1">
      <c r="B121" s="821"/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821"/>
      <c r="W121" s="821"/>
      <c r="X121" s="616"/>
      <c r="AG121" s="240"/>
      <c r="AH121" s="531"/>
      <c r="AI121" s="240"/>
      <c r="AJ121" s="240"/>
      <c r="AK121" s="240"/>
      <c r="AL121" s="240"/>
      <c r="AM121" s="240"/>
      <c r="AN121" s="240"/>
      <c r="AO121" s="240"/>
      <c r="AP121" s="14"/>
      <c r="AQ121" s="14"/>
      <c r="AR121" s="14"/>
      <c r="AS121" s="14"/>
    </row>
    <row r="122" spans="1:34" ht="12.75">
      <c r="A122" s="276" t="s">
        <v>341</v>
      </c>
      <c r="B122" s="948" t="s">
        <v>591</v>
      </c>
      <c r="C122" s="948"/>
      <c r="D122" s="948"/>
      <c r="E122" s="948"/>
      <c r="F122" s="948"/>
      <c r="G122" s="948"/>
      <c r="H122" s="948"/>
      <c r="I122" s="948"/>
      <c r="J122" s="948"/>
      <c r="K122" s="948"/>
      <c r="L122" s="948"/>
      <c r="M122" s="948"/>
      <c r="N122" s="948"/>
      <c r="O122" s="948"/>
      <c r="P122" s="948"/>
      <c r="Q122" s="948"/>
      <c r="R122" s="948"/>
      <c r="S122" s="948"/>
      <c r="T122" s="948"/>
      <c r="U122" s="948"/>
      <c r="V122" s="948"/>
      <c r="W122" s="948"/>
      <c r="X122" s="616"/>
      <c r="AH122" s="531"/>
    </row>
    <row r="123" spans="2:34" ht="12.75">
      <c r="B123" s="948"/>
      <c r="C123" s="948"/>
      <c r="D123" s="948"/>
      <c r="E123" s="948"/>
      <c r="F123" s="948"/>
      <c r="G123" s="948"/>
      <c r="H123" s="948"/>
      <c r="I123" s="948"/>
      <c r="J123" s="948"/>
      <c r="K123" s="948"/>
      <c r="L123" s="948"/>
      <c r="M123" s="948"/>
      <c r="N123" s="948"/>
      <c r="O123" s="948"/>
      <c r="P123" s="948"/>
      <c r="Q123" s="948"/>
      <c r="R123" s="948"/>
      <c r="S123" s="948"/>
      <c r="T123" s="948"/>
      <c r="U123" s="948"/>
      <c r="V123" s="948"/>
      <c r="W123" s="948"/>
      <c r="X123" s="616"/>
      <c r="AH123" s="531"/>
    </row>
    <row r="124" spans="2:45" ht="3" customHeight="1"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616"/>
      <c r="AG124" s="240"/>
      <c r="AH124" s="531"/>
      <c r="AI124" s="240"/>
      <c r="AJ124" s="240"/>
      <c r="AK124" s="240"/>
      <c r="AL124" s="240"/>
      <c r="AM124" s="240"/>
      <c r="AN124" s="240"/>
      <c r="AO124" s="240"/>
      <c r="AP124" s="14"/>
      <c r="AQ124" s="14"/>
      <c r="AR124" s="14"/>
      <c r="AS124" s="14"/>
    </row>
    <row r="125" spans="1:45" ht="12.75" customHeight="1">
      <c r="A125" s="846" t="s">
        <v>204</v>
      </c>
      <c r="B125" s="995" t="s">
        <v>19</v>
      </c>
      <c r="C125" s="995"/>
      <c r="D125" s="995"/>
      <c r="E125" s="795" t="s">
        <v>205</v>
      </c>
      <c r="F125" s="796"/>
      <c r="G125" s="796"/>
      <c r="H125" s="796"/>
      <c r="I125" s="796"/>
      <c r="J125" s="796"/>
      <c r="K125" s="796"/>
      <c r="L125" s="796"/>
      <c r="M125" s="796"/>
      <c r="N125" s="831"/>
      <c r="O125" s="949" t="s">
        <v>206</v>
      </c>
      <c r="P125" s="949"/>
      <c r="Q125" s="949"/>
      <c r="R125" s="949"/>
      <c r="S125" s="949"/>
      <c r="T125" s="949"/>
      <c r="U125" s="949"/>
      <c r="V125" s="949"/>
      <c r="W125" s="949"/>
      <c r="X125" s="616"/>
      <c r="AG125" s="210"/>
      <c r="AH125" s="531"/>
      <c r="AI125" s="210"/>
      <c r="AJ125" s="210"/>
      <c r="AK125" s="210"/>
      <c r="AL125" s="210"/>
      <c r="AM125" s="210"/>
      <c r="AN125" s="210"/>
      <c r="AO125" s="210"/>
      <c r="AP125" s="14"/>
      <c r="AQ125" s="14"/>
      <c r="AR125" s="14"/>
      <c r="AS125" s="14"/>
    </row>
    <row r="126" spans="1:45" ht="14.25" customHeight="1">
      <c r="A126" s="847"/>
      <c r="B126" s="995"/>
      <c r="C126" s="995"/>
      <c r="D126" s="995"/>
      <c r="E126" s="797"/>
      <c r="F126" s="798"/>
      <c r="G126" s="798"/>
      <c r="H126" s="798"/>
      <c r="I126" s="798"/>
      <c r="J126" s="798"/>
      <c r="K126" s="798"/>
      <c r="L126" s="798"/>
      <c r="M126" s="798"/>
      <c r="N126" s="832"/>
      <c r="O126" s="949"/>
      <c r="P126" s="949"/>
      <c r="Q126" s="949"/>
      <c r="R126" s="949"/>
      <c r="S126" s="949"/>
      <c r="T126" s="949"/>
      <c r="U126" s="949"/>
      <c r="V126" s="949"/>
      <c r="W126" s="949"/>
      <c r="X126" s="616"/>
      <c r="AG126" s="14"/>
      <c r="AH126" s="531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ht="12.75" customHeight="1">
      <c r="A127" s="848"/>
      <c r="B127" s="995"/>
      <c r="C127" s="995"/>
      <c r="D127" s="995"/>
      <c r="E127" s="833"/>
      <c r="F127" s="834"/>
      <c r="G127" s="834"/>
      <c r="H127" s="834"/>
      <c r="I127" s="834"/>
      <c r="J127" s="834"/>
      <c r="K127" s="834"/>
      <c r="L127" s="834"/>
      <c r="M127" s="834"/>
      <c r="N127" s="835"/>
      <c r="O127" s="734">
        <v>0</v>
      </c>
      <c r="P127" s="735"/>
      <c r="Q127" s="735"/>
      <c r="R127" s="736"/>
      <c r="S127" s="849" t="s">
        <v>228</v>
      </c>
      <c r="T127" s="849"/>
      <c r="U127" s="849"/>
      <c r="V127" s="849"/>
      <c r="W127" s="849"/>
      <c r="X127" s="616"/>
      <c r="AG127" s="14"/>
      <c r="AH127" s="531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ht="12.75" customHeight="1">
      <c r="A128" s="267" t="s">
        <v>342</v>
      </c>
      <c r="B128" s="725" t="s">
        <v>343</v>
      </c>
      <c r="C128" s="726"/>
      <c r="D128" s="726"/>
      <c r="E128" s="725" t="s">
        <v>595</v>
      </c>
      <c r="F128" s="726"/>
      <c r="G128" s="726"/>
      <c r="H128" s="726"/>
      <c r="I128" s="726"/>
      <c r="J128" s="726"/>
      <c r="K128" s="726"/>
      <c r="L128" s="726"/>
      <c r="M128" s="726"/>
      <c r="N128" s="727"/>
      <c r="O128" s="915" t="s">
        <v>530</v>
      </c>
      <c r="P128" s="916"/>
      <c r="Q128" s="916"/>
      <c r="R128" s="917"/>
      <c r="S128" s="921" t="s">
        <v>529</v>
      </c>
      <c r="T128" s="922"/>
      <c r="U128" s="922"/>
      <c r="V128" s="922"/>
      <c r="W128" s="923"/>
      <c r="X128" s="616"/>
      <c r="AG128" s="14"/>
      <c r="AH128" s="531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ht="12.75" customHeight="1">
      <c r="A129" s="268"/>
      <c r="B129" s="728"/>
      <c r="C129" s="729"/>
      <c r="D129" s="729"/>
      <c r="E129" s="728"/>
      <c r="F129" s="729"/>
      <c r="G129" s="729"/>
      <c r="H129" s="729"/>
      <c r="I129" s="729"/>
      <c r="J129" s="729"/>
      <c r="K129" s="729"/>
      <c r="L129" s="729"/>
      <c r="M129" s="729"/>
      <c r="N129" s="730"/>
      <c r="O129" s="918"/>
      <c r="P129" s="919"/>
      <c r="Q129" s="919"/>
      <c r="R129" s="920"/>
      <c r="S129" s="924"/>
      <c r="T129" s="925"/>
      <c r="U129" s="925"/>
      <c r="V129" s="925"/>
      <c r="W129" s="926"/>
      <c r="X129" s="616"/>
      <c r="AG129" s="14"/>
      <c r="AH129" s="531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ht="12.75" customHeight="1">
      <c r="A130" s="268"/>
      <c r="B130" s="728"/>
      <c r="C130" s="729"/>
      <c r="D130" s="729"/>
      <c r="E130" s="728"/>
      <c r="F130" s="729"/>
      <c r="G130" s="729"/>
      <c r="H130" s="729"/>
      <c r="I130" s="729"/>
      <c r="J130" s="729"/>
      <c r="K130" s="729"/>
      <c r="L130" s="729"/>
      <c r="M130" s="729"/>
      <c r="N130" s="730"/>
      <c r="O130" s="918"/>
      <c r="P130" s="919"/>
      <c r="Q130" s="919"/>
      <c r="R130" s="920"/>
      <c r="S130" s="924"/>
      <c r="T130" s="925"/>
      <c r="U130" s="925"/>
      <c r="V130" s="925"/>
      <c r="W130" s="926"/>
      <c r="X130" s="616"/>
      <c r="AG130" s="14"/>
      <c r="AH130" s="531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4.5" customHeight="1">
      <c r="A131" s="268"/>
      <c r="B131" s="728"/>
      <c r="C131" s="729"/>
      <c r="D131" s="729"/>
      <c r="E131" s="728"/>
      <c r="F131" s="729"/>
      <c r="G131" s="729"/>
      <c r="H131" s="729"/>
      <c r="I131" s="729"/>
      <c r="J131" s="729"/>
      <c r="K131" s="729"/>
      <c r="L131" s="729"/>
      <c r="M131" s="729"/>
      <c r="N131" s="730"/>
      <c r="O131" s="918"/>
      <c r="P131" s="919"/>
      <c r="Q131" s="919"/>
      <c r="R131" s="920"/>
      <c r="S131" s="924"/>
      <c r="T131" s="925"/>
      <c r="U131" s="925"/>
      <c r="V131" s="925"/>
      <c r="W131" s="926"/>
      <c r="X131" s="616"/>
      <c r="AG131" s="14"/>
      <c r="AH131" s="531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ht="12.75" customHeight="1">
      <c r="A132" s="268"/>
      <c r="B132" s="728"/>
      <c r="C132" s="729"/>
      <c r="D132" s="729"/>
      <c r="E132" s="728"/>
      <c r="F132" s="729"/>
      <c r="G132" s="729"/>
      <c r="H132" s="729"/>
      <c r="I132" s="729"/>
      <c r="J132" s="729"/>
      <c r="K132" s="729"/>
      <c r="L132" s="729"/>
      <c r="M132" s="729"/>
      <c r="N132" s="730"/>
      <c r="O132" s="924"/>
      <c r="P132" s="925"/>
      <c r="Q132" s="925"/>
      <c r="R132" s="926"/>
      <c r="S132" s="1018" t="s">
        <v>340</v>
      </c>
      <c r="T132" s="1018"/>
      <c r="U132" s="1018"/>
      <c r="V132" s="1018"/>
      <c r="W132" s="1019"/>
      <c r="X132" s="616"/>
      <c r="AC132" s="356" t="s">
        <v>404</v>
      </c>
      <c r="AG132" s="14"/>
      <c r="AH132" s="531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ht="12.75" customHeight="1">
      <c r="A133" s="268"/>
      <c r="B133" s="728"/>
      <c r="C133" s="729"/>
      <c r="D133" s="729"/>
      <c r="E133" s="728"/>
      <c r="F133" s="729"/>
      <c r="G133" s="729"/>
      <c r="H133" s="729"/>
      <c r="I133" s="729"/>
      <c r="J133" s="729"/>
      <c r="K133" s="729"/>
      <c r="L133" s="729"/>
      <c r="M133" s="729"/>
      <c r="N133" s="730"/>
      <c r="O133" s="924"/>
      <c r="P133" s="925"/>
      <c r="Q133" s="925"/>
      <c r="R133" s="926"/>
      <c r="S133" s="993" t="s">
        <v>265</v>
      </c>
      <c r="T133" s="993"/>
      <c r="U133" s="993"/>
      <c r="V133" s="993"/>
      <c r="W133" s="994"/>
      <c r="X133" s="616"/>
      <c r="AC133" s="358">
        <f>G56</f>
      </c>
      <c r="AG133" s="14"/>
      <c r="AH133" s="531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2.75" customHeight="1">
      <c r="A134" s="268"/>
      <c r="B134" s="728"/>
      <c r="C134" s="729"/>
      <c r="D134" s="729"/>
      <c r="E134" s="771" t="s">
        <v>594</v>
      </c>
      <c r="F134" s="772"/>
      <c r="G134" s="772"/>
      <c r="H134" s="772"/>
      <c r="I134" s="772"/>
      <c r="J134" s="772"/>
      <c r="K134" s="772"/>
      <c r="L134" s="772"/>
      <c r="M134" s="772"/>
      <c r="N134" s="773"/>
      <c r="O134" s="1020"/>
      <c r="P134" s="1021"/>
      <c r="Q134" s="1021"/>
      <c r="R134" s="1022"/>
      <c r="S134" s="993" t="s">
        <v>266</v>
      </c>
      <c r="T134" s="993"/>
      <c r="U134" s="993"/>
      <c r="V134" s="993"/>
      <c r="W134" s="994"/>
      <c r="X134" s="616"/>
      <c r="Y134" s="203" t="str">
        <f>IF(AC133="первая","да","нет")</f>
        <v>нет</v>
      </c>
      <c r="AG134" s="14"/>
      <c r="AH134" s="531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ht="12.75">
      <c r="A135" s="268"/>
      <c r="B135" s="728"/>
      <c r="C135" s="729"/>
      <c r="D135" s="729"/>
      <c r="E135" s="771"/>
      <c r="F135" s="772"/>
      <c r="G135" s="772"/>
      <c r="H135" s="772"/>
      <c r="I135" s="772"/>
      <c r="J135" s="772"/>
      <c r="K135" s="772"/>
      <c r="L135" s="772"/>
      <c r="M135" s="772"/>
      <c r="N135" s="773"/>
      <c r="O135" s="817" t="str">
        <f>IF(Y135=0,IF(OR(FIO="",Y134="нет"),"-",0),"")</f>
        <v>-</v>
      </c>
      <c r="P135" s="817"/>
      <c r="Q135" s="817"/>
      <c r="R135" s="817"/>
      <c r="S135" s="857"/>
      <c r="T135" s="857"/>
      <c r="U135" s="857"/>
      <c r="V135" s="857"/>
      <c r="W135" s="858"/>
      <c r="X135" s="616"/>
      <c r="Y135" s="280">
        <f>SUM(S135)</f>
        <v>0</v>
      </c>
      <c r="AC135" s="356" t="s">
        <v>402</v>
      </c>
      <c r="AD135" s="302" t="str">
        <f>IF(z_kateg="первая",AD136,"-")</f>
        <v>-</v>
      </c>
      <c r="AE135" s="565" t="str">
        <f>IF(z_kateg="первая",AE136,"-")</f>
        <v>-</v>
      </c>
      <c r="AF135" s="565" t="str">
        <f>IF(z_kateg="первая",AF136,"-")</f>
        <v>-</v>
      </c>
      <c r="AG135" s="302" t="str">
        <f>IF(z_kateg="первая",AG136,"-")</f>
        <v>-</v>
      </c>
      <c r="AH135" s="531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45" ht="12.75">
      <c r="A136" s="269"/>
      <c r="B136" s="767"/>
      <c r="C136" s="768"/>
      <c r="D136" s="768"/>
      <c r="E136" s="774"/>
      <c r="F136" s="775"/>
      <c r="G136" s="775"/>
      <c r="H136" s="775"/>
      <c r="I136" s="775"/>
      <c r="J136" s="775"/>
      <c r="K136" s="775"/>
      <c r="L136" s="775"/>
      <c r="M136" s="775"/>
      <c r="N136" s="776"/>
      <c r="O136" s="817"/>
      <c r="P136" s="817"/>
      <c r="Q136" s="817"/>
      <c r="R136" s="817"/>
      <c r="S136" s="863"/>
      <c r="T136" s="863"/>
      <c r="U136" s="863"/>
      <c r="V136" s="863"/>
      <c r="W136" s="864"/>
      <c r="X136" s="616"/>
      <c r="AC136" s="357" t="b">
        <f>OR(S135=0,$S$135="-")</f>
        <v>1</v>
      </c>
      <c r="AD136" s="5">
        <v>10</v>
      </c>
      <c r="AE136" s="316">
        <v>60</v>
      </c>
      <c r="AF136" s="316">
        <v>80</v>
      </c>
      <c r="AG136" s="14">
        <v>100</v>
      </c>
      <c r="AH136" s="531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2.75" customHeight="1">
      <c r="A137" s="267" t="s">
        <v>344</v>
      </c>
      <c r="B137" s="725" t="s">
        <v>345</v>
      </c>
      <c r="C137" s="726"/>
      <c r="D137" s="726"/>
      <c r="E137" s="725" t="s">
        <v>596</v>
      </c>
      <c r="F137" s="726"/>
      <c r="G137" s="726"/>
      <c r="H137" s="726"/>
      <c r="I137" s="726"/>
      <c r="J137" s="726"/>
      <c r="K137" s="726"/>
      <c r="L137" s="726"/>
      <c r="M137" s="726"/>
      <c r="N137" s="727"/>
      <c r="O137" s="915" t="s">
        <v>531</v>
      </c>
      <c r="P137" s="916"/>
      <c r="Q137" s="916"/>
      <c r="R137" s="917"/>
      <c r="S137" s="921" t="s">
        <v>567</v>
      </c>
      <c r="T137" s="922"/>
      <c r="U137" s="922"/>
      <c r="V137" s="922"/>
      <c r="W137" s="923"/>
      <c r="X137" s="616"/>
      <c r="AG137" s="14"/>
      <c r="AH137" s="531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ht="12.75" customHeight="1">
      <c r="A138" s="268"/>
      <c r="B138" s="728"/>
      <c r="C138" s="729"/>
      <c r="D138" s="729"/>
      <c r="E138" s="728"/>
      <c r="F138" s="729"/>
      <c r="G138" s="729"/>
      <c r="H138" s="729"/>
      <c r="I138" s="729"/>
      <c r="J138" s="729"/>
      <c r="K138" s="729"/>
      <c r="L138" s="729"/>
      <c r="M138" s="729"/>
      <c r="N138" s="730"/>
      <c r="O138" s="918"/>
      <c r="P138" s="919"/>
      <c r="Q138" s="919"/>
      <c r="R138" s="920"/>
      <c r="S138" s="924"/>
      <c r="T138" s="925"/>
      <c r="U138" s="925"/>
      <c r="V138" s="925"/>
      <c r="W138" s="926"/>
      <c r="X138" s="616"/>
      <c r="AG138" s="14"/>
      <c r="AH138" s="531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1:45" ht="12.75" customHeight="1">
      <c r="A139" s="268"/>
      <c r="B139" s="728"/>
      <c r="C139" s="729"/>
      <c r="D139" s="729"/>
      <c r="E139" s="728"/>
      <c r="F139" s="729"/>
      <c r="G139" s="729"/>
      <c r="H139" s="729"/>
      <c r="I139" s="729"/>
      <c r="J139" s="729"/>
      <c r="K139" s="729"/>
      <c r="L139" s="729"/>
      <c r="M139" s="729"/>
      <c r="N139" s="730"/>
      <c r="O139" s="918"/>
      <c r="P139" s="919"/>
      <c r="Q139" s="919"/>
      <c r="R139" s="920"/>
      <c r="S139" s="924"/>
      <c r="T139" s="925"/>
      <c r="U139" s="925"/>
      <c r="V139" s="925"/>
      <c r="W139" s="926"/>
      <c r="X139" s="616"/>
      <c r="AG139" s="14"/>
      <c r="AH139" s="531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6" customHeight="1">
      <c r="A140" s="268"/>
      <c r="B140" s="728"/>
      <c r="C140" s="729"/>
      <c r="D140" s="729"/>
      <c r="E140" s="728"/>
      <c r="F140" s="729"/>
      <c r="G140" s="729"/>
      <c r="H140" s="729"/>
      <c r="I140" s="729"/>
      <c r="J140" s="729"/>
      <c r="K140" s="729"/>
      <c r="L140" s="729"/>
      <c r="M140" s="729"/>
      <c r="N140" s="730"/>
      <c r="O140" s="918"/>
      <c r="P140" s="919"/>
      <c r="Q140" s="919"/>
      <c r="R140" s="920"/>
      <c r="S140" s="924"/>
      <c r="T140" s="925"/>
      <c r="U140" s="925"/>
      <c r="V140" s="925"/>
      <c r="W140" s="926"/>
      <c r="X140" s="616"/>
      <c r="AG140" s="14"/>
      <c r="AH140" s="531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2.75" customHeight="1">
      <c r="A141" s="268"/>
      <c r="B141" s="728"/>
      <c r="C141" s="729"/>
      <c r="D141" s="729"/>
      <c r="E141" s="728"/>
      <c r="F141" s="729"/>
      <c r="G141" s="729"/>
      <c r="H141" s="729"/>
      <c r="I141" s="729"/>
      <c r="J141" s="729"/>
      <c r="K141" s="729"/>
      <c r="L141" s="729"/>
      <c r="M141" s="729"/>
      <c r="N141" s="730"/>
      <c r="O141" s="918"/>
      <c r="P141" s="919"/>
      <c r="Q141" s="919"/>
      <c r="R141" s="920"/>
      <c r="S141" s="1018" t="s">
        <v>340</v>
      </c>
      <c r="T141" s="1018"/>
      <c r="U141" s="1018"/>
      <c r="V141" s="1018"/>
      <c r="W141" s="1019"/>
      <c r="X141" s="616"/>
      <c r="AG141" s="14"/>
      <c r="AH141" s="531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12.75" customHeight="1">
      <c r="A142" s="268"/>
      <c r="B142" s="728"/>
      <c r="C142" s="729"/>
      <c r="D142" s="729"/>
      <c r="E142" s="728"/>
      <c r="F142" s="729"/>
      <c r="G142" s="729"/>
      <c r="H142" s="729"/>
      <c r="I142" s="729"/>
      <c r="J142" s="729"/>
      <c r="K142" s="729"/>
      <c r="L142" s="729"/>
      <c r="M142" s="729"/>
      <c r="N142" s="730"/>
      <c r="O142" s="489"/>
      <c r="P142" s="490"/>
      <c r="Q142" s="490"/>
      <c r="R142" s="491"/>
      <c r="S142" s="993" t="s">
        <v>265</v>
      </c>
      <c r="T142" s="993"/>
      <c r="U142" s="993"/>
      <c r="V142" s="993"/>
      <c r="W142" s="994"/>
      <c r="X142" s="616"/>
      <c r="AG142" s="14"/>
      <c r="AH142" s="531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ht="14.25" customHeight="1">
      <c r="A143" s="268"/>
      <c r="B143" s="728"/>
      <c r="C143" s="729"/>
      <c r="D143" s="729"/>
      <c r="E143" s="728"/>
      <c r="F143" s="729"/>
      <c r="G143" s="729"/>
      <c r="H143" s="729"/>
      <c r="I143" s="729"/>
      <c r="J143" s="729"/>
      <c r="K143" s="729"/>
      <c r="L143" s="729"/>
      <c r="M143" s="729"/>
      <c r="N143" s="730"/>
      <c r="O143" s="492"/>
      <c r="P143" s="493"/>
      <c r="Q143" s="493"/>
      <c r="R143" s="494"/>
      <c r="S143" s="1015" t="s">
        <v>266</v>
      </c>
      <c r="T143" s="1016"/>
      <c r="U143" s="1016"/>
      <c r="V143" s="1016"/>
      <c r="W143" s="1017"/>
      <c r="X143" s="616"/>
      <c r="Y143" s="203" t="str">
        <f>IF(AC133="высшая","да","нет")</f>
        <v>нет</v>
      </c>
      <c r="AD143" s="202"/>
      <c r="AG143" s="14"/>
      <c r="AH143" s="531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ht="12.75">
      <c r="A144" s="268"/>
      <c r="B144" s="728"/>
      <c r="C144" s="729"/>
      <c r="D144" s="729"/>
      <c r="E144" s="771" t="s">
        <v>594</v>
      </c>
      <c r="F144" s="772"/>
      <c r="G144" s="772"/>
      <c r="H144" s="772"/>
      <c r="I144" s="772"/>
      <c r="J144" s="772"/>
      <c r="K144" s="772"/>
      <c r="L144" s="772"/>
      <c r="M144" s="772"/>
      <c r="N144" s="773"/>
      <c r="O144" s="817" t="str">
        <f>IF(Y144=0,IF(OR(FIO="",Y143="нет"),"-",0),"")</f>
        <v>-</v>
      </c>
      <c r="P144" s="817"/>
      <c r="Q144" s="817"/>
      <c r="R144" s="817"/>
      <c r="S144" s="857"/>
      <c r="T144" s="857"/>
      <c r="U144" s="857"/>
      <c r="V144" s="857"/>
      <c r="W144" s="858"/>
      <c r="X144" s="616"/>
      <c r="Y144" s="280">
        <f>SUM(S144)</f>
        <v>0</v>
      </c>
      <c r="Z144" s="264" t="s">
        <v>209</v>
      </c>
      <c r="AA144" s="265" t="s">
        <v>281</v>
      </c>
      <c r="AC144" s="356" t="s">
        <v>402</v>
      </c>
      <c r="AD144" s="302" t="str">
        <f>IF(z_kateg="высшая",AD136,"-")</f>
        <v>-</v>
      </c>
      <c r="AE144" s="565" t="str">
        <f>IF(z_kateg="высшая",AE136,"-")</f>
        <v>-</v>
      </c>
      <c r="AF144" s="565" t="str">
        <f>IF(z_kateg="высшая",AF136,"-")</f>
        <v>-</v>
      </c>
      <c r="AG144" s="302" t="str">
        <f>IF(z_kateg="высшая",AG136,"-")</f>
        <v>-</v>
      </c>
      <c r="AH144" s="531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12.75" customHeight="1">
      <c r="A145" s="269"/>
      <c r="B145" s="767"/>
      <c r="C145" s="768"/>
      <c r="D145" s="768"/>
      <c r="E145" s="774"/>
      <c r="F145" s="775"/>
      <c r="G145" s="775"/>
      <c r="H145" s="775"/>
      <c r="I145" s="775"/>
      <c r="J145" s="775"/>
      <c r="K145" s="775"/>
      <c r="L145" s="775"/>
      <c r="M145" s="775"/>
      <c r="N145" s="776"/>
      <c r="O145" s="817"/>
      <c r="P145" s="817"/>
      <c r="Q145" s="817"/>
      <c r="R145" s="817"/>
      <c r="S145" s="863"/>
      <c r="T145" s="863"/>
      <c r="U145" s="863"/>
      <c r="V145" s="863"/>
      <c r="W145" s="864"/>
      <c r="X145" s="616"/>
      <c r="Y145" s="280"/>
      <c r="Z145" s="266">
        <v>100</v>
      </c>
      <c r="AA145" s="283">
        <v>60</v>
      </c>
      <c r="AC145" s="357" t="b">
        <f>OR(S144=0,$S$144="-")</f>
        <v>1</v>
      </c>
      <c r="AD145" s="202"/>
      <c r="AG145" s="14"/>
      <c r="AH145" s="531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3.75" customHeight="1"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616"/>
      <c r="AG146" s="240"/>
      <c r="AH146" s="531"/>
      <c r="AI146" s="240"/>
      <c r="AJ146" s="240"/>
      <c r="AK146" s="240"/>
      <c r="AL146" s="240"/>
      <c r="AM146" s="240"/>
      <c r="AN146" s="240"/>
      <c r="AO146" s="240"/>
      <c r="AP146" s="14"/>
      <c r="AQ146" s="14"/>
      <c r="AR146" s="14"/>
      <c r="AS146" s="14"/>
    </row>
    <row r="147" spans="1:34" ht="12.75" customHeight="1" hidden="1">
      <c r="A147" s="483" t="s">
        <v>346</v>
      </c>
      <c r="B147" s="1028" t="s">
        <v>347</v>
      </c>
      <c r="C147" s="1028"/>
      <c r="D147" s="1028"/>
      <c r="E147" s="1028"/>
      <c r="F147" s="1028"/>
      <c r="G147" s="1028"/>
      <c r="H147" s="1028"/>
      <c r="I147" s="1028"/>
      <c r="J147" s="1028"/>
      <c r="K147" s="1028"/>
      <c r="L147" s="1028"/>
      <c r="M147" s="1028"/>
      <c r="N147" s="1028"/>
      <c r="O147" s="1028"/>
      <c r="P147" s="1028"/>
      <c r="Q147" s="1028"/>
      <c r="R147" s="1028"/>
      <c r="S147" s="1028"/>
      <c r="T147" s="1028"/>
      <c r="U147" s="1028"/>
      <c r="V147" s="1028"/>
      <c r="W147" s="1028"/>
      <c r="X147" s="616"/>
      <c r="AH147" s="531"/>
    </row>
    <row r="148" spans="1:34" ht="12.75" customHeight="1" hidden="1">
      <c r="A148" s="484"/>
      <c r="B148" s="1028"/>
      <c r="C148" s="1028"/>
      <c r="D148" s="1028"/>
      <c r="E148" s="1028"/>
      <c r="F148" s="1028"/>
      <c r="G148" s="1028"/>
      <c r="H148" s="1028"/>
      <c r="I148" s="1028"/>
      <c r="J148" s="1028"/>
      <c r="K148" s="1028"/>
      <c r="L148" s="1028"/>
      <c r="M148" s="1028"/>
      <c r="N148" s="1028"/>
      <c r="O148" s="1028"/>
      <c r="P148" s="1028"/>
      <c r="Q148" s="1028"/>
      <c r="R148" s="1028"/>
      <c r="S148" s="1028"/>
      <c r="T148" s="1028"/>
      <c r="U148" s="1028"/>
      <c r="V148" s="1028"/>
      <c r="W148" s="1028"/>
      <c r="X148" s="616"/>
      <c r="AH148" s="531"/>
    </row>
    <row r="149" spans="1:45" ht="3" customHeight="1" hidden="1">
      <c r="A149" s="484"/>
      <c r="B149" s="485"/>
      <c r="C149" s="485"/>
      <c r="D149" s="485"/>
      <c r="E149" s="485"/>
      <c r="F149" s="485"/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  <c r="Q149" s="485"/>
      <c r="R149" s="485"/>
      <c r="S149" s="485"/>
      <c r="T149" s="485"/>
      <c r="U149" s="485"/>
      <c r="V149" s="485"/>
      <c r="W149" s="485"/>
      <c r="X149" s="616"/>
      <c r="AH149" s="531"/>
      <c r="AI149" s="240"/>
      <c r="AJ149" s="240"/>
      <c r="AK149" s="240"/>
      <c r="AL149" s="240"/>
      <c r="AM149" s="240"/>
      <c r="AN149" s="240"/>
      <c r="AO149" s="240"/>
      <c r="AP149" s="14"/>
      <c r="AQ149" s="14"/>
      <c r="AR149" s="14"/>
      <c r="AS149" s="14"/>
    </row>
    <row r="150" spans="1:45" ht="12.75" customHeight="1" hidden="1">
      <c r="A150" s="818" t="s">
        <v>204</v>
      </c>
      <c r="B150" s="978" t="s">
        <v>205</v>
      </c>
      <c r="C150" s="979"/>
      <c r="D150" s="979"/>
      <c r="E150" s="979"/>
      <c r="F150" s="979"/>
      <c r="G150" s="979"/>
      <c r="H150" s="979"/>
      <c r="I150" s="979"/>
      <c r="J150" s="979"/>
      <c r="K150" s="979"/>
      <c r="L150" s="979"/>
      <c r="M150" s="979"/>
      <c r="N150" s="980"/>
      <c r="O150" s="555" t="s">
        <v>206</v>
      </c>
      <c r="P150" s="555"/>
      <c r="Q150" s="555"/>
      <c r="R150" s="555"/>
      <c r="S150" s="555"/>
      <c r="T150" s="555"/>
      <c r="U150" s="555"/>
      <c r="V150" s="555"/>
      <c r="W150" s="555"/>
      <c r="X150" s="616"/>
      <c r="Z150" s="532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AA150" s="533"/>
      <c r="AB150" s="533"/>
      <c r="AC150" s="533"/>
      <c r="AD150" s="533"/>
      <c r="AE150" s="566"/>
      <c r="AF150" s="566"/>
      <c r="AG150" s="533"/>
      <c r="AH150" s="531"/>
      <c r="AI150" s="533"/>
      <c r="AJ150" s="533"/>
      <c r="AK150" s="533"/>
      <c r="AL150" s="534"/>
      <c r="AM150" s="210"/>
      <c r="AN150" s="210"/>
      <c r="AO150" s="210"/>
      <c r="AP150" s="14"/>
      <c r="AQ150" s="14"/>
      <c r="AR150" s="14"/>
      <c r="AS150" s="14"/>
    </row>
    <row r="151" spans="1:45" ht="14.25" customHeight="1" hidden="1">
      <c r="A151" s="819"/>
      <c r="B151" s="981"/>
      <c r="C151" s="982"/>
      <c r="D151" s="982"/>
      <c r="E151" s="982"/>
      <c r="F151" s="982"/>
      <c r="G151" s="982"/>
      <c r="H151" s="982"/>
      <c r="I151" s="982"/>
      <c r="J151" s="982"/>
      <c r="K151" s="982"/>
      <c r="L151" s="982"/>
      <c r="M151" s="982"/>
      <c r="N151" s="983"/>
      <c r="O151" s="555"/>
      <c r="P151" s="555"/>
      <c r="Q151" s="555"/>
      <c r="R151" s="555"/>
      <c r="S151" s="555"/>
      <c r="T151" s="555"/>
      <c r="U151" s="555"/>
      <c r="V151" s="555"/>
      <c r="W151" s="555"/>
      <c r="X151" s="616"/>
      <c r="Z151" s="535"/>
      <c r="AA151" s="536"/>
      <c r="AB151" s="536"/>
      <c r="AC151" s="536"/>
      <c r="AD151" s="536"/>
      <c r="AE151" s="567"/>
      <c r="AF151" s="567"/>
      <c r="AG151" s="536"/>
      <c r="AH151" s="531"/>
      <c r="AI151" s="536"/>
      <c r="AJ151" s="536"/>
      <c r="AK151" s="536"/>
      <c r="AL151" s="537"/>
      <c r="AM151" s="14"/>
      <c r="AN151" s="14"/>
      <c r="AO151" s="14"/>
      <c r="AP151" s="14"/>
      <c r="AQ151" s="14"/>
      <c r="AR151" s="14"/>
      <c r="AS151" s="14"/>
    </row>
    <row r="152" spans="1:45" ht="12.75" customHeight="1" hidden="1">
      <c r="A152" s="820"/>
      <c r="B152" s="984"/>
      <c r="C152" s="985"/>
      <c r="D152" s="985"/>
      <c r="E152" s="985"/>
      <c r="F152" s="985"/>
      <c r="G152" s="985"/>
      <c r="H152" s="985"/>
      <c r="I152" s="985"/>
      <c r="J152" s="985"/>
      <c r="K152" s="985"/>
      <c r="L152" s="985"/>
      <c r="M152" s="985"/>
      <c r="N152" s="986"/>
      <c r="O152" s="957">
        <v>0</v>
      </c>
      <c r="P152" s="958"/>
      <c r="Q152" s="958"/>
      <c r="R152" s="959"/>
      <c r="S152" s="960" t="s">
        <v>228</v>
      </c>
      <c r="T152" s="960"/>
      <c r="U152" s="960"/>
      <c r="V152" s="960"/>
      <c r="W152" s="960"/>
      <c r="X152" s="616"/>
      <c r="AB152" s="202" t="s">
        <v>413</v>
      </c>
      <c r="AG152" s="14"/>
      <c r="AH152" s="531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ht="12.75" customHeight="1" hidden="1">
      <c r="A153" s="486" t="s">
        <v>348</v>
      </c>
      <c r="B153" s="987" t="s">
        <v>313</v>
      </c>
      <c r="C153" s="988"/>
      <c r="D153" s="988"/>
      <c r="E153" s="988"/>
      <c r="F153" s="988"/>
      <c r="G153" s="988"/>
      <c r="H153" s="988"/>
      <c r="I153" s="988"/>
      <c r="J153" s="988"/>
      <c r="K153" s="988"/>
      <c r="L153" s="988"/>
      <c r="M153" s="988"/>
      <c r="N153" s="989"/>
      <c r="O153" s="941" t="s">
        <v>367</v>
      </c>
      <c r="P153" s="941"/>
      <c r="Q153" s="941"/>
      <c r="R153" s="942"/>
      <c r="S153" s="940" t="s">
        <v>349</v>
      </c>
      <c r="T153" s="941"/>
      <c r="U153" s="941"/>
      <c r="V153" s="941"/>
      <c r="W153" s="942"/>
      <c r="X153" s="616"/>
      <c r="AB153" s="202" t="s">
        <v>414</v>
      </c>
      <c r="AH153" s="531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1:45" ht="15" customHeight="1" hidden="1">
      <c r="A154" s="487"/>
      <c r="B154" s="990"/>
      <c r="C154" s="991"/>
      <c r="D154" s="991"/>
      <c r="E154" s="991"/>
      <c r="F154" s="991"/>
      <c r="G154" s="991"/>
      <c r="H154" s="991"/>
      <c r="I154" s="991"/>
      <c r="J154" s="991"/>
      <c r="K154" s="991"/>
      <c r="L154" s="991"/>
      <c r="M154" s="991"/>
      <c r="N154" s="992"/>
      <c r="O154" s="944"/>
      <c r="P154" s="944"/>
      <c r="Q154" s="944"/>
      <c r="R154" s="945"/>
      <c r="S154" s="943"/>
      <c r="T154" s="944"/>
      <c r="U154" s="944"/>
      <c r="V154" s="944"/>
      <c r="W154" s="945"/>
      <c r="X154" s="616"/>
      <c r="AB154" s="202" t="s">
        <v>415</v>
      </c>
      <c r="AH154" s="531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ht="2.25" customHeight="1" hidden="1">
      <c r="A155" s="487"/>
      <c r="B155" s="990"/>
      <c r="C155" s="991"/>
      <c r="D155" s="991"/>
      <c r="E155" s="991"/>
      <c r="F155" s="991"/>
      <c r="G155" s="991"/>
      <c r="H155" s="991"/>
      <c r="I155" s="991"/>
      <c r="J155" s="991"/>
      <c r="K155" s="991"/>
      <c r="L155" s="991"/>
      <c r="M155" s="991"/>
      <c r="N155" s="992"/>
      <c r="O155" s="944"/>
      <c r="P155" s="944"/>
      <c r="Q155" s="944"/>
      <c r="R155" s="945"/>
      <c r="S155" s="943"/>
      <c r="T155" s="944"/>
      <c r="U155" s="944"/>
      <c r="V155" s="944"/>
      <c r="W155" s="945"/>
      <c r="X155" s="616"/>
      <c r="AH155" s="531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12.75" customHeight="1" hidden="1">
      <c r="A156" s="487"/>
      <c r="B156" s="1041" t="s">
        <v>315</v>
      </c>
      <c r="C156" s="1042"/>
      <c r="D156" s="1042"/>
      <c r="E156" s="1042"/>
      <c r="F156" s="1042"/>
      <c r="G156" s="1042"/>
      <c r="H156" s="1042"/>
      <c r="I156" s="1042"/>
      <c r="J156" s="1042"/>
      <c r="K156" s="1042"/>
      <c r="L156" s="1042"/>
      <c r="M156" s="1042"/>
      <c r="N156" s="1043"/>
      <c r="O156" s="944"/>
      <c r="P156" s="944"/>
      <c r="Q156" s="944"/>
      <c r="R156" s="945"/>
      <c r="S156" s="950" t="s">
        <v>340</v>
      </c>
      <c r="T156" s="951"/>
      <c r="U156" s="951"/>
      <c r="V156" s="951"/>
      <c r="W156" s="952"/>
      <c r="X156" s="616"/>
      <c r="AA156" s="202" t="s">
        <v>412</v>
      </c>
      <c r="AH156" s="531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ht="21" customHeight="1" hidden="1">
      <c r="A157" s="487"/>
      <c r="B157" s="1041"/>
      <c r="C157" s="1042"/>
      <c r="D157" s="1042"/>
      <c r="E157" s="1042"/>
      <c r="F157" s="1042"/>
      <c r="G157" s="1042"/>
      <c r="H157" s="1042"/>
      <c r="I157" s="1042"/>
      <c r="J157" s="1042"/>
      <c r="K157" s="1042"/>
      <c r="L157" s="1042"/>
      <c r="M157" s="1042"/>
      <c r="N157" s="1043"/>
      <c r="O157" s="944"/>
      <c r="P157" s="944"/>
      <c r="Q157" s="944"/>
      <c r="R157" s="945"/>
      <c r="S157" s="1008" t="s">
        <v>265</v>
      </c>
      <c r="T157" s="1009"/>
      <c r="U157" s="1009"/>
      <c r="V157" s="1009"/>
      <c r="W157" s="1010"/>
      <c r="X157" s="616"/>
      <c r="AA157" s="202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531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1:45" ht="12.75" customHeight="1" hidden="1">
      <c r="A158" s="487"/>
      <c r="B158" s="1044"/>
      <c r="C158" s="1045"/>
      <c r="D158" s="1045"/>
      <c r="E158" s="1045"/>
      <c r="F158" s="1045"/>
      <c r="G158" s="1045"/>
      <c r="H158" s="1045"/>
      <c r="I158" s="1045"/>
      <c r="J158" s="1045"/>
      <c r="K158" s="1045"/>
      <c r="L158" s="1045"/>
      <c r="M158" s="1045"/>
      <c r="N158" s="1046"/>
      <c r="O158" s="1026"/>
      <c r="P158" s="1026"/>
      <c r="Q158" s="1026"/>
      <c r="R158" s="1027"/>
      <c r="S158" s="1011" t="s">
        <v>266</v>
      </c>
      <c r="T158" s="1012"/>
      <c r="U158" s="1012"/>
      <c r="V158" s="1012"/>
      <c r="W158" s="1013"/>
      <c r="X158" s="616"/>
      <c r="AD158" s="369" t="s">
        <v>402</v>
      </c>
      <c r="AH158" s="531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17.25" customHeight="1" hidden="1">
      <c r="A159" s="487"/>
      <c r="B159" s="1002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159" s="1003"/>
      <c r="D159" s="1003"/>
      <c r="E159" s="1003"/>
      <c r="F159" s="1003"/>
      <c r="G159" s="1003"/>
      <c r="H159" s="1003"/>
      <c r="I159" s="1003"/>
      <c r="J159" s="1003"/>
      <c r="K159" s="1003"/>
      <c r="L159" s="1003"/>
      <c r="M159" s="1003"/>
      <c r="N159" s="1004"/>
      <c r="O159" s="965" t="str">
        <f>IF(Y160=0,IF(OR(FIO="",AB160="нет"),"-",0),"")</f>
        <v>-</v>
      </c>
      <c r="P159" s="965"/>
      <c r="Q159" s="965"/>
      <c r="R159" s="965"/>
      <c r="S159" s="996" t="s">
        <v>403</v>
      </c>
      <c r="T159" s="997"/>
      <c r="U159" s="997"/>
      <c r="V159" s="997"/>
      <c r="W159" s="998"/>
      <c r="X159" s="616"/>
      <c r="Z159" s="264" t="s">
        <v>209</v>
      </c>
      <c r="AA159" s="265" t="s">
        <v>281</v>
      </c>
      <c r="AB159" s="179" t="s">
        <v>351</v>
      </c>
      <c r="AD159" s="302" t="str">
        <f>IF($AB$160="да",AD136,"-")</f>
        <v>-</v>
      </c>
      <c r="AE159" s="565" t="str">
        <f>IF($AB$160="да",AE136,"-")</f>
        <v>-</v>
      </c>
      <c r="AF159" s="565" t="str">
        <f>IF($AB$160="да",AF136,"-")</f>
        <v>-</v>
      </c>
      <c r="AG159" s="302" t="str">
        <f>IF($AB$160="да",AG136,"-")</f>
        <v>-</v>
      </c>
      <c r="AH159" s="531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ht="12.75" customHeight="1" hidden="1">
      <c r="A160" s="488"/>
      <c r="B160" s="1005"/>
      <c r="C160" s="1006"/>
      <c r="D160" s="1006"/>
      <c r="E160" s="1006"/>
      <c r="F160" s="1006"/>
      <c r="G160" s="1006"/>
      <c r="H160" s="1006"/>
      <c r="I160" s="1006"/>
      <c r="J160" s="1006"/>
      <c r="K160" s="1006"/>
      <c r="L160" s="1006"/>
      <c r="M160" s="1006"/>
      <c r="N160" s="1007"/>
      <c r="O160" s="965"/>
      <c r="P160" s="965"/>
      <c r="Q160" s="965"/>
      <c r="R160" s="965"/>
      <c r="S160" s="999"/>
      <c r="T160" s="1000"/>
      <c r="U160" s="1000"/>
      <c r="V160" s="1000"/>
      <c r="W160" s="1001"/>
      <c r="X160" s="616"/>
      <c r="Y160" s="280">
        <f>IF(AB160="да",S159,0)</f>
        <v>0</v>
      </c>
      <c r="Z160" s="266">
        <f>IF(AB160="нет",0,100)</f>
        <v>0</v>
      </c>
      <c r="AA160" s="283">
        <f>IF(AB160="нет",0,60)</f>
        <v>0</v>
      </c>
      <c r="AB160" s="331" t="str">
        <f>'общие сведения'!K18</f>
        <v>нет</v>
      </c>
      <c r="AC160" s="357" t="b">
        <f>OR(S159=0,$S$159="-")</f>
        <v>1</v>
      </c>
      <c r="AH160" s="531"/>
      <c r="AI160" s="14" t="s">
        <v>6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ht="11.25" customHeight="1" hidden="1">
      <c r="A161" s="261"/>
      <c r="B161" s="212"/>
      <c r="C161" s="212"/>
      <c r="D161" s="212"/>
      <c r="E161" s="212"/>
      <c r="F161" s="212"/>
      <c r="G161" s="257"/>
      <c r="H161" s="257"/>
      <c r="I161" s="257"/>
      <c r="J161" s="257"/>
      <c r="K161" s="257"/>
      <c r="L161" s="207"/>
      <c r="M161" s="207"/>
      <c r="N161" s="207"/>
      <c r="O161" s="207"/>
      <c r="P161" s="207"/>
      <c r="Q161" s="207"/>
      <c r="R161" s="207"/>
      <c r="S161" s="208"/>
      <c r="T161" s="208"/>
      <c r="U161" s="208"/>
      <c r="V161" s="208"/>
      <c r="W161" s="208"/>
      <c r="X161" s="616"/>
      <c r="AD161" s="202"/>
      <c r="AG161" s="14"/>
      <c r="AH161" s="531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34" ht="12.75">
      <c r="A162" s="180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616"/>
      <c r="AA162" s="264" t="s">
        <v>282</v>
      </c>
      <c r="AB162" s="264" t="s">
        <v>209</v>
      </c>
      <c r="AC162" s="296" t="s">
        <v>281</v>
      </c>
      <c r="AD162" s="202"/>
      <c r="AE162" s="559" t="s">
        <v>283</v>
      </c>
      <c r="AH162" s="531"/>
    </row>
    <row r="163" spans="1:45" ht="15">
      <c r="A163" s="263" t="s">
        <v>267</v>
      </c>
      <c r="B163" s="273" t="s">
        <v>566</v>
      </c>
      <c r="X163" s="616"/>
      <c r="Y163" s="303" t="str">
        <f>A163</f>
        <v>2. </v>
      </c>
      <c r="Z163" s="284" t="s">
        <v>287</v>
      </c>
      <c r="AA163" s="281">
        <f>SUM(Y164:Y223)</f>
        <v>0</v>
      </c>
      <c r="AB163" s="282">
        <f>SUM(Z164:Z223)</f>
        <v>340</v>
      </c>
      <c r="AC163" s="330">
        <f>SUM(AA164:AA223)</f>
        <v>20</v>
      </c>
      <c r="AD163" s="202"/>
      <c r="AE163" s="559" t="b">
        <f>итого_2&gt;=AC163</f>
        <v>0</v>
      </c>
      <c r="AH163" s="531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13.5">
      <c r="A164" s="845" t="s">
        <v>202</v>
      </c>
      <c r="B164" s="845"/>
      <c r="C164" s="845"/>
      <c r="D164" s="845"/>
      <c r="E164" s="845"/>
      <c r="F164" s="845"/>
      <c r="G164" s="845"/>
      <c r="H164" s="845"/>
      <c r="I164" s="845"/>
      <c r="J164" s="845"/>
      <c r="K164" s="845"/>
      <c r="L164" s="845"/>
      <c r="M164" s="845"/>
      <c r="N164" s="845"/>
      <c r="O164" s="845"/>
      <c r="P164" s="845"/>
      <c r="Q164" s="845"/>
      <c r="R164" s="845"/>
      <c r="S164" s="845"/>
      <c r="T164" s="845"/>
      <c r="U164" s="845"/>
      <c r="V164" s="845"/>
      <c r="W164" s="845"/>
      <c r="X164" s="616"/>
      <c r="AD164" s="202"/>
      <c r="AH164" s="531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12.75">
      <c r="A165" s="217" t="s">
        <v>203</v>
      </c>
      <c r="B165" s="821" t="s">
        <v>312</v>
      </c>
      <c r="C165" s="821"/>
      <c r="D165" s="821"/>
      <c r="E165" s="821"/>
      <c r="F165" s="821"/>
      <c r="G165" s="821"/>
      <c r="H165" s="821"/>
      <c r="I165" s="821"/>
      <c r="J165" s="821"/>
      <c r="K165" s="821"/>
      <c r="L165" s="821"/>
      <c r="M165" s="821"/>
      <c r="N165" s="821"/>
      <c r="O165" s="821"/>
      <c r="P165" s="821"/>
      <c r="Q165" s="821"/>
      <c r="R165" s="821"/>
      <c r="S165" s="821"/>
      <c r="T165" s="821"/>
      <c r="U165" s="821"/>
      <c r="V165" s="821"/>
      <c r="W165" s="821"/>
      <c r="X165" s="616"/>
      <c r="AH165" s="531"/>
      <c r="AM165" s="14"/>
      <c r="AN165" s="14"/>
      <c r="AO165" s="14"/>
      <c r="AP165" s="14"/>
      <c r="AQ165" s="14"/>
      <c r="AR165" s="14"/>
      <c r="AS165" s="14"/>
    </row>
    <row r="166" spans="1:45" ht="6" customHeight="1">
      <c r="A166" s="274"/>
      <c r="B166" s="821"/>
      <c r="C166" s="821"/>
      <c r="D166" s="821"/>
      <c r="E166" s="821"/>
      <c r="F166" s="821"/>
      <c r="G166" s="821"/>
      <c r="H166" s="821"/>
      <c r="I166" s="821"/>
      <c r="J166" s="821"/>
      <c r="K166" s="821"/>
      <c r="L166" s="821"/>
      <c r="M166" s="821"/>
      <c r="N166" s="821"/>
      <c r="O166" s="821"/>
      <c r="P166" s="821"/>
      <c r="Q166" s="821"/>
      <c r="R166" s="821"/>
      <c r="S166" s="821"/>
      <c r="T166" s="821"/>
      <c r="U166" s="821"/>
      <c r="V166" s="821"/>
      <c r="W166" s="821"/>
      <c r="X166" s="616"/>
      <c r="AH166" s="531"/>
      <c r="AM166" s="14"/>
      <c r="AN166" s="14"/>
      <c r="AO166" s="14"/>
      <c r="AP166" s="14"/>
      <c r="AQ166" s="14"/>
      <c r="AR166" s="14"/>
      <c r="AS166" s="14"/>
    </row>
    <row r="167" spans="1:45" ht="11.25" customHeight="1">
      <c r="A167" s="274"/>
      <c r="B167" s="821"/>
      <c r="C167" s="821"/>
      <c r="D167" s="821"/>
      <c r="E167" s="821"/>
      <c r="F167" s="821"/>
      <c r="G167" s="821"/>
      <c r="H167" s="821"/>
      <c r="I167" s="821"/>
      <c r="J167" s="821"/>
      <c r="K167" s="821"/>
      <c r="L167" s="821"/>
      <c r="M167" s="821"/>
      <c r="N167" s="821"/>
      <c r="O167" s="821"/>
      <c r="P167" s="821"/>
      <c r="Q167" s="821"/>
      <c r="R167" s="821"/>
      <c r="S167" s="821"/>
      <c r="T167" s="821"/>
      <c r="U167" s="821"/>
      <c r="V167" s="821"/>
      <c r="W167" s="821"/>
      <c r="X167" s="616"/>
      <c r="Z167" s="14"/>
      <c r="AH167" s="531"/>
      <c r="AN167" s="14"/>
      <c r="AO167" s="14"/>
      <c r="AP167" s="14"/>
      <c r="AQ167" s="14"/>
      <c r="AR167" s="14"/>
      <c r="AS167" s="14"/>
    </row>
    <row r="168" spans="1:45" ht="12.75">
      <c r="A168" s="217" t="s">
        <v>203</v>
      </c>
      <c r="B168" s="821" t="s">
        <v>311</v>
      </c>
      <c r="C168" s="821"/>
      <c r="D168" s="821"/>
      <c r="E168" s="821"/>
      <c r="F168" s="821"/>
      <c r="G168" s="821"/>
      <c r="H168" s="821"/>
      <c r="I168" s="821"/>
      <c r="J168" s="821"/>
      <c r="K168" s="821"/>
      <c r="L168" s="821"/>
      <c r="M168" s="821"/>
      <c r="N168" s="821"/>
      <c r="O168" s="821"/>
      <c r="P168" s="821"/>
      <c r="Q168" s="821"/>
      <c r="R168" s="821"/>
      <c r="S168" s="821"/>
      <c r="T168" s="821"/>
      <c r="U168" s="821"/>
      <c r="V168" s="821"/>
      <c r="W168" s="821"/>
      <c r="X168" s="616"/>
      <c r="AH168" s="531"/>
      <c r="AN168" s="14"/>
      <c r="AO168" s="14"/>
      <c r="AP168" s="14"/>
      <c r="AQ168" s="14"/>
      <c r="AR168" s="14"/>
      <c r="AS168" s="14"/>
    </row>
    <row r="169" spans="2:45" ht="12.75">
      <c r="B169" s="821"/>
      <c r="C169" s="821"/>
      <c r="D169" s="821"/>
      <c r="E169" s="821"/>
      <c r="F169" s="821"/>
      <c r="G169" s="821"/>
      <c r="H169" s="821"/>
      <c r="I169" s="821"/>
      <c r="J169" s="821"/>
      <c r="K169" s="821"/>
      <c r="L169" s="821"/>
      <c r="M169" s="821"/>
      <c r="N169" s="821"/>
      <c r="O169" s="821"/>
      <c r="P169" s="821"/>
      <c r="Q169" s="821"/>
      <c r="R169" s="821"/>
      <c r="S169" s="821"/>
      <c r="T169" s="821"/>
      <c r="U169" s="821"/>
      <c r="V169" s="821"/>
      <c r="W169" s="821"/>
      <c r="X169" s="616"/>
      <c r="AH169" s="531"/>
      <c r="AM169" s="14"/>
      <c r="AN169" s="14"/>
      <c r="AO169" s="14"/>
      <c r="AP169" s="14"/>
      <c r="AQ169" s="14"/>
      <c r="AR169" s="14"/>
      <c r="AS169" s="14"/>
    </row>
    <row r="170" spans="2:45" ht="12.75">
      <c r="B170" s="821"/>
      <c r="C170" s="821"/>
      <c r="D170" s="821"/>
      <c r="E170" s="821"/>
      <c r="F170" s="821"/>
      <c r="G170" s="821"/>
      <c r="H170" s="821"/>
      <c r="I170" s="821"/>
      <c r="J170" s="821"/>
      <c r="K170" s="821"/>
      <c r="L170" s="821"/>
      <c r="M170" s="821"/>
      <c r="N170" s="821"/>
      <c r="O170" s="821"/>
      <c r="P170" s="821"/>
      <c r="Q170" s="821"/>
      <c r="R170" s="821"/>
      <c r="S170" s="821"/>
      <c r="T170" s="821"/>
      <c r="U170" s="821"/>
      <c r="V170" s="821"/>
      <c r="W170" s="821"/>
      <c r="X170" s="616"/>
      <c r="AH170" s="531"/>
      <c r="AM170" s="14"/>
      <c r="AN170" s="14"/>
      <c r="AO170" s="14"/>
      <c r="AP170" s="14"/>
      <c r="AQ170" s="14"/>
      <c r="AR170" s="14"/>
      <c r="AS170" s="14"/>
    </row>
    <row r="171" spans="2:34" ht="8.25" customHeight="1">
      <c r="B171" s="821"/>
      <c r="C171" s="821"/>
      <c r="D171" s="821"/>
      <c r="E171" s="821"/>
      <c r="F171" s="821"/>
      <c r="G171" s="821"/>
      <c r="H171" s="821"/>
      <c r="I171" s="821"/>
      <c r="J171" s="821"/>
      <c r="K171" s="821"/>
      <c r="L171" s="821"/>
      <c r="M171" s="821"/>
      <c r="N171" s="821"/>
      <c r="O171" s="821"/>
      <c r="P171" s="821"/>
      <c r="Q171" s="821"/>
      <c r="R171" s="821"/>
      <c r="S171" s="821"/>
      <c r="T171" s="821"/>
      <c r="U171" s="821"/>
      <c r="V171" s="821"/>
      <c r="W171" s="821"/>
      <c r="X171" s="616"/>
      <c r="AH171" s="531"/>
    </row>
    <row r="172" spans="1:34" ht="14.25">
      <c r="A172" s="792" t="s">
        <v>204</v>
      </c>
      <c r="B172" s="795" t="s">
        <v>205</v>
      </c>
      <c r="C172" s="796"/>
      <c r="D172" s="796"/>
      <c r="E172" s="796"/>
      <c r="F172" s="796"/>
      <c r="G172" s="796"/>
      <c r="H172" s="796"/>
      <c r="I172" s="799" t="s">
        <v>206</v>
      </c>
      <c r="J172" s="800"/>
      <c r="K172" s="800"/>
      <c r="L172" s="800"/>
      <c r="M172" s="800"/>
      <c r="N172" s="800"/>
      <c r="O172" s="800"/>
      <c r="P172" s="800"/>
      <c r="Q172" s="800"/>
      <c r="R172" s="800"/>
      <c r="S172" s="800"/>
      <c r="T172" s="800"/>
      <c r="U172" s="800"/>
      <c r="V172" s="800"/>
      <c r="W172" s="801"/>
      <c r="X172" s="616"/>
      <c r="AH172" s="531"/>
    </row>
    <row r="173" spans="1:34" ht="14.25" customHeight="1">
      <c r="A173" s="793"/>
      <c r="B173" s="797"/>
      <c r="C173" s="798"/>
      <c r="D173" s="798"/>
      <c r="E173" s="798"/>
      <c r="F173" s="798"/>
      <c r="G173" s="798"/>
      <c r="H173" s="798"/>
      <c r="I173" s="731" t="s">
        <v>207</v>
      </c>
      <c r="J173" s="732"/>
      <c r="K173" s="732"/>
      <c r="L173" s="732"/>
      <c r="M173" s="732"/>
      <c r="N173" s="732"/>
      <c r="O173" s="732"/>
      <c r="P173" s="732"/>
      <c r="Q173" s="732"/>
      <c r="R173" s="732"/>
      <c r="S173" s="732"/>
      <c r="T173" s="732"/>
      <c r="U173" s="732"/>
      <c r="V173" s="732"/>
      <c r="W173" s="733"/>
      <c r="X173" s="616"/>
      <c r="AH173" s="531"/>
    </row>
    <row r="174" spans="1:34" ht="14.25" customHeight="1">
      <c r="A174" s="794"/>
      <c r="B174" s="833"/>
      <c r="C174" s="834"/>
      <c r="D174" s="834"/>
      <c r="E174" s="834"/>
      <c r="F174" s="834"/>
      <c r="G174" s="834"/>
      <c r="H174" s="834"/>
      <c r="I174" s="849">
        <v>0</v>
      </c>
      <c r="J174" s="849"/>
      <c r="K174" s="849"/>
      <c r="L174" s="849"/>
      <c r="M174" s="849"/>
      <c r="N174" s="849" t="s">
        <v>268</v>
      </c>
      <c r="O174" s="849"/>
      <c r="P174" s="849"/>
      <c r="Q174" s="849"/>
      <c r="R174" s="849"/>
      <c r="S174" s="849">
        <v>30</v>
      </c>
      <c r="T174" s="849"/>
      <c r="U174" s="849"/>
      <c r="V174" s="849"/>
      <c r="W174" s="849"/>
      <c r="X174" s="616"/>
      <c r="AH174" s="531"/>
    </row>
    <row r="175" spans="1:34" ht="12.75" customHeight="1">
      <c r="A175" s="777" t="s">
        <v>424</v>
      </c>
      <c r="B175" s="725" t="s">
        <v>538</v>
      </c>
      <c r="C175" s="726"/>
      <c r="D175" s="726"/>
      <c r="E175" s="726"/>
      <c r="F175" s="726"/>
      <c r="G175" s="726"/>
      <c r="H175" s="727"/>
      <c r="I175" s="743" t="s">
        <v>536</v>
      </c>
      <c r="J175" s="756"/>
      <c r="K175" s="756"/>
      <c r="L175" s="756"/>
      <c r="M175" s="757"/>
      <c r="N175" s="743" t="s">
        <v>537</v>
      </c>
      <c r="O175" s="756"/>
      <c r="P175" s="756"/>
      <c r="Q175" s="756"/>
      <c r="R175" s="757"/>
      <c r="S175" s="743" t="s">
        <v>540</v>
      </c>
      <c r="T175" s="756"/>
      <c r="U175" s="756"/>
      <c r="V175" s="756"/>
      <c r="W175" s="757"/>
      <c r="X175" s="616"/>
      <c r="AH175" s="531"/>
    </row>
    <row r="176" spans="1:34" ht="12.75" customHeight="1">
      <c r="A176" s="778"/>
      <c r="B176" s="728"/>
      <c r="C176" s="729"/>
      <c r="D176" s="729"/>
      <c r="E176" s="729"/>
      <c r="F176" s="729"/>
      <c r="G176" s="729"/>
      <c r="H176" s="730"/>
      <c r="I176" s="758"/>
      <c r="J176" s="759"/>
      <c r="K176" s="759"/>
      <c r="L176" s="759"/>
      <c r="M176" s="760"/>
      <c r="N176" s="758"/>
      <c r="O176" s="759"/>
      <c r="P176" s="759"/>
      <c r="Q176" s="759"/>
      <c r="R176" s="760"/>
      <c r="S176" s="758"/>
      <c r="T176" s="759"/>
      <c r="U176" s="759"/>
      <c r="V176" s="759"/>
      <c r="W176" s="760"/>
      <c r="X176" s="616"/>
      <c r="AH176" s="531"/>
    </row>
    <row r="177" spans="1:34" ht="7.5" customHeight="1">
      <c r="A177" s="778"/>
      <c r="B177" s="728"/>
      <c r="C177" s="729"/>
      <c r="D177" s="729"/>
      <c r="E177" s="729"/>
      <c r="F177" s="729"/>
      <c r="G177" s="729"/>
      <c r="H177" s="730"/>
      <c r="I177" s="758"/>
      <c r="J177" s="759"/>
      <c r="K177" s="759"/>
      <c r="L177" s="759"/>
      <c r="M177" s="760"/>
      <c r="N177" s="758"/>
      <c r="O177" s="759"/>
      <c r="P177" s="759"/>
      <c r="Q177" s="759"/>
      <c r="R177" s="760"/>
      <c r="S177" s="758"/>
      <c r="T177" s="759"/>
      <c r="U177" s="759"/>
      <c r="V177" s="759"/>
      <c r="W177" s="760"/>
      <c r="X177" s="616"/>
      <c r="AH177" s="531"/>
    </row>
    <row r="178" spans="1:34" ht="54.75" customHeight="1">
      <c r="A178" s="778"/>
      <c r="B178" s="771" t="s">
        <v>539</v>
      </c>
      <c r="C178" s="772"/>
      <c r="D178" s="772"/>
      <c r="E178" s="772"/>
      <c r="F178" s="772"/>
      <c r="G178" s="772"/>
      <c r="H178" s="773"/>
      <c r="I178" s="814"/>
      <c r="J178" s="815"/>
      <c r="K178" s="815"/>
      <c r="L178" s="815"/>
      <c r="M178" s="816"/>
      <c r="N178" s="814"/>
      <c r="O178" s="815"/>
      <c r="P178" s="815"/>
      <c r="Q178" s="815"/>
      <c r="R178" s="816"/>
      <c r="S178" s="814"/>
      <c r="T178" s="815"/>
      <c r="U178" s="815"/>
      <c r="V178" s="815"/>
      <c r="W178" s="816"/>
      <c r="X178" s="616"/>
      <c r="Y178" s="14"/>
      <c r="Z178" s="256"/>
      <c r="AB178" s="292"/>
      <c r="AC178" s="14"/>
      <c r="AD178" s="14"/>
      <c r="AH178" s="531"/>
    </row>
    <row r="179" spans="1:34" ht="12.75" customHeight="1">
      <c r="A179" s="778"/>
      <c r="B179" s="771"/>
      <c r="C179" s="772"/>
      <c r="D179" s="772"/>
      <c r="E179" s="772"/>
      <c r="F179" s="772"/>
      <c r="G179" s="772"/>
      <c r="H179" s="773"/>
      <c r="I179" s="817">
        <f>IF(Y180=0,IF(FIO="","",0),"")</f>
      </c>
      <c r="J179" s="817"/>
      <c r="K179" s="817"/>
      <c r="L179" s="817"/>
      <c r="M179" s="817"/>
      <c r="N179" s="770"/>
      <c r="O179" s="770"/>
      <c r="P179" s="770"/>
      <c r="Q179" s="770"/>
      <c r="R179" s="770"/>
      <c r="S179" s="770"/>
      <c r="T179" s="770"/>
      <c r="U179" s="770"/>
      <c r="V179" s="770"/>
      <c r="W179" s="770"/>
      <c r="X179" s="616"/>
      <c r="Z179" s="264" t="s">
        <v>209</v>
      </c>
      <c r="AH179" s="531"/>
    </row>
    <row r="180" spans="1:34" ht="12.75" customHeight="1">
      <c r="A180" s="779"/>
      <c r="B180" s="774"/>
      <c r="C180" s="775"/>
      <c r="D180" s="775"/>
      <c r="E180" s="775"/>
      <c r="F180" s="775"/>
      <c r="G180" s="775"/>
      <c r="H180" s="776"/>
      <c r="I180" s="817"/>
      <c r="J180" s="817"/>
      <c r="K180" s="817"/>
      <c r="L180" s="817"/>
      <c r="M180" s="817"/>
      <c r="N180" s="770"/>
      <c r="O180" s="770"/>
      <c r="P180" s="770"/>
      <c r="Q180" s="770"/>
      <c r="R180" s="770"/>
      <c r="S180" s="770"/>
      <c r="T180" s="770"/>
      <c r="U180" s="770"/>
      <c r="V180" s="770"/>
      <c r="W180" s="770"/>
      <c r="X180" s="616"/>
      <c r="Y180" s="280">
        <f>MAX(N179:W180)</f>
        <v>0</v>
      </c>
      <c r="Z180" s="266">
        <v>40</v>
      </c>
      <c r="AH180" s="531"/>
    </row>
    <row r="181" spans="1:34" ht="12.75" customHeight="1">
      <c r="A181" s="777" t="s">
        <v>425</v>
      </c>
      <c r="B181" s="725" t="s">
        <v>544</v>
      </c>
      <c r="C181" s="726"/>
      <c r="D181" s="726"/>
      <c r="E181" s="726"/>
      <c r="F181" s="726"/>
      <c r="G181" s="726"/>
      <c r="H181" s="727"/>
      <c r="I181" s="743" t="s">
        <v>541</v>
      </c>
      <c r="J181" s="756"/>
      <c r="K181" s="756"/>
      <c r="L181" s="756"/>
      <c r="M181" s="757"/>
      <c r="N181" s="743" t="s">
        <v>542</v>
      </c>
      <c r="O181" s="756"/>
      <c r="P181" s="756"/>
      <c r="Q181" s="756"/>
      <c r="R181" s="757"/>
      <c r="S181" s="743" t="s">
        <v>543</v>
      </c>
      <c r="T181" s="756"/>
      <c r="U181" s="756"/>
      <c r="V181" s="756"/>
      <c r="W181" s="757"/>
      <c r="X181" s="616"/>
      <c r="AH181" s="531"/>
    </row>
    <row r="182" spans="1:34" ht="12.75" customHeight="1">
      <c r="A182" s="778"/>
      <c r="B182" s="728"/>
      <c r="C182" s="729"/>
      <c r="D182" s="729"/>
      <c r="E182" s="729"/>
      <c r="F182" s="729"/>
      <c r="G182" s="729"/>
      <c r="H182" s="730"/>
      <c r="I182" s="758"/>
      <c r="J182" s="759"/>
      <c r="K182" s="759"/>
      <c r="L182" s="759"/>
      <c r="M182" s="760"/>
      <c r="N182" s="758"/>
      <c r="O182" s="759"/>
      <c r="P182" s="759"/>
      <c r="Q182" s="759"/>
      <c r="R182" s="760"/>
      <c r="S182" s="758"/>
      <c r="T182" s="759"/>
      <c r="U182" s="759"/>
      <c r="V182" s="759"/>
      <c r="W182" s="760"/>
      <c r="X182" s="616"/>
      <c r="AH182" s="531"/>
    </row>
    <row r="183" spans="1:34" ht="12.75">
      <c r="A183" s="778"/>
      <c r="B183" s="728"/>
      <c r="C183" s="729"/>
      <c r="D183" s="729"/>
      <c r="E183" s="729"/>
      <c r="F183" s="729"/>
      <c r="G183" s="729"/>
      <c r="H183" s="730"/>
      <c r="I183" s="758"/>
      <c r="J183" s="759"/>
      <c r="K183" s="759"/>
      <c r="L183" s="759"/>
      <c r="M183" s="760"/>
      <c r="N183" s="758"/>
      <c r="O183" s="759"/>
      <c r="P183" s="759"/>
      <c r="Q183" s="759"/>
      <c r="R183" s="760"/>
      <c r="S183" s="758"/>
      <c r="T183" s="759"/>
      <c r="U183" s="759"/>
      <c r="V183" s="759"/>
      <c r="W183" s="760"/>
      <c r="X183" s="616"/>
      <c r="AH183" s="531"/>
    </row>
    <row r="184" spans="1:34" ht="2.25" customHeight="1">
      <c r="A184" s="778"/>
      <c r="B184" s="728"/>
      <c r="C184" s="729"/>
      <c r="D184" s="729"/>
      <c r="E184" s="729"/>
      <c r="F184" s="729"/>
      <c r="G184" s="729"/>
      <c r="H184" s="730"/>
      <c r="I184" s="814"/>
      <c r="J184" s="815"/>
      <c r="K184" s="815"/>
      <c r="L184" s="815"/>
      <c r="M184" s="816"/>
      <c r="N184" s="814"/>
      <c r="O184" s="815"/>
      <c r="P184" s="815"/>
      <c r="Q184" s="815"/>
      <c r="R184" s="816"/>
      <c r="S184" s="814"/>
      <c r="T184" s="815"/>
      <c r="U184" s="815"/>
      <c r="V184" s="815"/>
      <c r="W184" s="816"/>
      <c r="X184" s="616"/>
      <c r="Y184" s="14"/>
      <c r="Z184" s="256"/>
      <c r="AB184" s="292"/>
      <c r="AC184" s="14"/>
      <c r="AD184" s="14"/>
      <c r="AH184" s="531"/>
    </row>
    <row r="185" spans="1:34" ht="12.75" customHeight="1">
      <c r="A185" s="778"/>
      <c r="B185" s="728"/>
      <c r="C185" s="729"/>
      <c r="D185" s="729"/>
      <c r="E185" s="729"/>
      <c r="F185" s="729"/>
      <c r="G185" s="729"/>
      <c r="H185" s="730"/>
      <c r="I185" s="817">
        <f>IF(Y186=0,IF(FIO="","",0),"")</f>
      </c>
      <c r="J185" s="817"/>
      <c r="K185" s="817"/>
      <c r="L185" s="817"/>
      <c r="M185" s="817"/>
      <c r="N185" s="770"/>
      <c r="O185" s="770"/>
      <c r="P185" s="770"/>
      <c r="Q185" s="770"/>
      <c r="R185" s="770"/>
      <c r="S185" s="770"/>
      <c r="T185" s="770"/>
      <c r="U185" s="770"/>
      <c r="V185" s="770"/>
      <c r="W185" s="770"/>
      <c r="X185" s="616"/>
      <c r="Z185" s="264" t="s">
        <v>209</v>
      </c>
      <c r="AH185" s="531"/>
    </row>
    <row r="186" spans="1:34" ht="12.75" customHeight="1">
      <c r="A186" s="779"/>
      <c r="B186" s="767"/>
      <c r="C186" s="768"/>
      <c r="D186" s="768"/>
      <c r="E186" s="768"/>
      <c r="F186" s="768"/>
      <c r="G186" s="768"/>
      <c r="H186" s="769"/>
      <c r="I186" s="817"/>
      <c r="J186" s="817"/>
      <c r="K186" s="817"/>
      <c r="L186" s="817"/>
      <c r="M186" s="817"/>
      <c r="N186" s="770"/>
      <c r="O186" s="770"/>
      <c r="P186" s="770"/>
      <c r="Q186" s="770"/>
      <c r="R186" s="770"/>
      <c r="S186" s="770"/>
      <c r="T186" s="770"/>
      <c r="U186" s="770"/>
      <c r="V186" s="770"/>
      <c r="W186" s="770"/>
      <c r="X186" s="616"/>
      <c r="Y186" s="280">
        <f>MAX(N185:W186)</f>
        <v>0</v>
      </c>
      <c r="Z186" s="266">
        <v>40</v>
      </c>
      <c r="AH186" s="531"/>
    </row>
    <row r="187" spans="1:34" ht="14.25">
      <c r="A187" s="792" t="s">
        <v>204</v>
      </c>
      <c r="B187" s="795" t="s">
        <v>205</v>
      </c>
      <c r="C187" s="796"/>
      <c r="D187" s="796"/>
      <c r="E187" s="796"/>
      <c r="F187" s="799" t="s">
        <v>206</v>
      </c>
      <c r="G187" s="800"/>
      <c r="H187" s="800"/>
      <c r="I187" s="800"/>
      <c r="J187" s="800"/>
      <c r="K187" s="800"/>
      <c r="L187" s="800"/>
      <c r="M187" s="800"/>
      <c r="N187" s="800"/>
      <c r="O187" s="800"/>
      <c r="P187" s="800"/>
      <c r="Q187" s="800"/>
      <c r="R187" s="800"/>
      <c r="S187" s="800"/>
      <c r="T187" s="800"/>
      <c r="U187" s="800"/>
      <c r="V187" s="800"/>
      <c r="W187" s="801"/>
      <c r="X187" s="616"/>
      <c r="Y187" s="14"/>
      <c r="AA187" s="14"/>
      <c r="AC187" s="14"/>
      <c r="AE187" s="329"/>
      <c r="AH187" s="531"/>
    </row>
    <row r="188" spans="1:34" ht="14.25" customHeight="1">
      <c r="A188" s="793"/>
      <c r="B188" s="797"/>
      <c r="C188" s="798"/>
      <c r="D188" s="798"/>
      <c r="E188" s="798"/>
      <c r="F188" s="731" t="s">
        <v>211</v>
      </c>
      <c r="G188" s="732"/>
      <c r="H188" s="732"/>
      <c r="I188" s="732"/>
      <c r="J188" s="732"/>
      <c r="K188" s="732"/>
      <c r="L188" s="732"/>
      <c r="M188" s="732"/>
      <c r="N188" s="732"/>
      <c r="O188" s="732"/>
      <c r="P188" s="732"/>
      <c r="Q188" s="732"/>
      <c r="R188" s="732"/>
      <c r="S188" s="732"/>
      <c r="T188" s="732"/>
      <c r="U188" s="732"/>
      <c r="V188" s="732"/>
      <c r="W188" s="733"/>
      <c r="X188" s="616"/>
      <c r="Y188" s="14"/>
      <c r="Z188" s="14"/>
      <c r="AA188" s="14"/>
      <c r="AB188" s="14"/>
      <c r="AC188" s="14"/>
      <c r="AD188" s="14"/>
      <c r="AE188" s="329"/>
      <c r="AH188" s="531"/>
    </row>
    <row r="189" spans="1:34" ht="14.25" customHeight="1">
      <c r="A189" s="794"/>
      <c r="B189" s="797"/>
      <c r="C189" s="798"/>
      <c r="D189" s="798"/>
      <c r="E189" s="798"/>
      <c r="F189" s="734">
        <v>0</v>
      </c>
      <c r="G189" s="735"/>
      <c r="H189" s="736"/>
      <c r="I189" s="753">
        <v>10</v>
      </c>
      <c r="J189" s="754"/>
      <c r="K189" s="755"/>
      <c r="L189" s="753" t="s">
        <v>213</v>
      </c>
      <c r="M189" s="754"/>
      <c r="N189" s="754"/>
      <c r="O189" s="755"/>
      <c r="P189" s="753" t="s">
        <v>547</v>
      </c>
      <c r="Q189" s="754"/>
      <c r="R189" s="754"/>
      <c r="S189" s="755"/>
      <c r="T189" s="753" t="s">
        <v>310</v>
      </c>
      <c r="U189" s="754"/>
      <c r="V189" s="754"/>
      <c r="W189" s="755"/>
      <c r="X189" s="616"/>
      <c r="Y189" s="14"/>
      <c r="Z189" s="14"/>
      <c r="AA189" s="14"/>
      <c r="AB189" s="14"/>
      <c r="AC189" s="14"/>
      <c r="AD189" s="14"/>
      <c r="AE189" s="329"/>
      <c r="AH189" s="531"/>
    </row>
    <row r="190" spans="1:34" ht="12.75" customHeight="1">
      <c r="A190" s="777" t="s">
        <v>426</v>
      </c>
      <c r="B190" s="725" t="s">
        <v>548</v>
      </c>
      <c r="C190" s="726"/>
      <c r="D190" s="726"/>
      <c r="E190" s="727"/>
      <c r="F190" s="743" t="s">
        <v>212</v>
      </c>
      <c r="G190" s="744"/>
      <c r="H190" s="745"/>
      <c r="I190" s="743" t="s">
        <v>546</v>
      </c>
      <c r="J190" s="756"/>
      <c r="K190" s="757"/>
      <c r="L190" s="743" t="s">
        <v>545</v>
      </c>
      <c r="M190" s="756"/>
      <c r="N190" s="756"/>
      <c r="O190" s="757"/>
      <c r="P190" s="743" t="s">
        <v>307</v>
      </c>
      <c r="Q190" s="756"/>
      <c r="R190" s="756"/>
      <c r="S190" s="757"/>
      <c r="T190" s="743" t="s">
        <v>362</v>
      </c>
      <c r="U190" s="756"/>
      <c r="V190" s="756"/>
      <c r="W190" s="757"/>
      <c r="X190" s="616"/>
      <c r="Y190" s="14"/>
      <c r="AA190" s="14"/>
      <c r="AB190" s="14"/>
      <c r="AC190" s="14"/>
      <c r="AH190" s="531"/>
    </row>
    <row r="191" spans="1:34" ht="12.75" customHeight="1">
      <c r="A191" s="778"/>
      <c r="B191" s="728"/>
      <c r="C191" s="729"/>
      <c r="D191" s="729"/>
      <c r="E191" s="730"/>
      <c r="F191" s="746"/>
      <c r="G191" s="738"/>
      <c r="H191" s="739"/>
      <c r="I191" s="758"/>
      <c r="J191" s="759"/>
      <c r="K191" s="760"/>
      <c r="L191" s="758"/>
      <c r="M191" s="759"/>
      <c r="N191" s="759"/>
      <c r="O191" s="760"/>
      <c r="P191" s="758"/>
      <c r="Q191" s="759"/>
      <c r="R191" s="759"/>
      <c r="S191" s="760"/>
      <c r="T191" s="758"/>
      <c r="U191" s="759"/>
      <c r="V191" s="759"/>
      <c r="W191" s="760"/>
      <c r="X191" s="616"/>
      <c r="Y191" s="14"/>
      <c r="AA191" s="14"/>
      <c r="AB191" s="14"/>
      <c r="AC191" s="14"/>
      <c r="AH191" s="531"/>
    </row>
    <row r="192" spans="1:34" ht="12.75">
      <c r="A192" s="778"/>
      <c r="B192" s="728"/>
      <c r="C192" s="729"/>
      <c r="D192" s="729"/>
      <c r="E192" s="730"/>
      <c r="F192" s="746"/>
      <c r="G192" s="738"/>
      <c r="H192" s="739"/>
      <c r="I192" s="758"/>
      <c r="J192" s="759"/>
      <c r="K192" s="760"/>
      <c r="L192" s="758"/>
      <c r="M192" s="759"/>
      <c r="N192" s="759"/>
      <c r="O192" s="760"/>
      <c r="P192" s="758"/>
      <c r="Q192" s="759"/>
      <c r="R192" s="759"/>
      <c r="S192" s="760"/>
      <c r="T192" s="758"/>
      <c r="U192" s="759"/>
      <c r="V192" s="759"/>
      <c r="W192" s="760"/>
      <c r="X192" s="616"/>
      <c r="Y192" s="14"/>
      <c r="AA192" s="14"/>
      <c r="AB192" s="14"/>
      <c r="AC192" s="14"/>
      <c r="AH192" s="531"/>
    </row>
    <row r="193" spans="1:34" ht="21.75" customHeight="1">
      <c r="A193" s="778"/>
      <c r="B193" s="728"/>
      <c r="C193" s="729"/>
      <c r="D193" s="729"/>
      <c r="E193" s="730"/>
      <c r="F193" s="737"/>
      <c r="G193" s="738"/>
      <c r="H193" s="739"/>
      <c r="I193" s="747" t="s">
        <v>549</v>
      </c>
      <c r="J193" s="748"/>
      <c r="K193" s="749"/>
      <c r="L193" s="747" t="s">
        <v>550</v>
      </c>
      <c r="M193" s="748"/>
      <c r="N193" s="748"/>
      <c r="O193" s="749"/>
      <c r="P193" s="747" t="s">
        <v>551</v>
      </c>
      <c r="Q193" s="748"/>
      <c r="R193" s="748"/>
      <c r="S193" s="749"/>
      <c r="T193" s="747" t="s">
        <v>552</v>
      </c>
      <c r="U193" s="748"/>
      <c r="V193" s="748"/>
      <c r="W193" s="749"/>
      <c r="X193" s="616"/>
      <c r="Y193" s="14"/>
      <c r="AH193" s="531"/>
    </row>
    <row r="194" spans="1:34" ht="15" customHeight="1">
      <c r="A194" s="778"/>
      <c r="B194" s="728"/>
      <c r="C194" s="729"/>
      <c r="D194" s="729"/>
      <c r="E194" s="730"/>
      <c r="F194" s="737"/>
      <c r="G194" s="738"/>
      <c r="H194" s="739"/>
      <c r="I194" s="747"/>
      <c r="J194" s="748"/>
      <c r="K194" s="749"/>
      <c r="L194" s="747"/>
      <c r="M194" s="748"/>
      <c r="N194" s="748"/>
      <c r="O194" s="749"/>
      <c r="P194" s="747"/>
      <c r="Q194" s="748"/>
      <c r="R194" s="748"/>
      <c r="S194" s="749"/>
      <c r="T194" s="747"/>
      <c r="U194" s="748"/>
      <c r="V194" s="748"/>
      <c r="W194" s="749"/>
      <c r="X194" s="616"/>
      <c r="Y194" s="14"/>
      <c r="AH194" s="531"/>
    </row>
    <row r="195" spans="1:34" ht="30.75" customHeight="1">
      <c r="A195" s="778"/>
      <c r="B195" s="761" t="s">
        <v>587</v>
      </c>
      <c r="C195" s="762"/>
      <c r="D195" s="762"/>
      <c r="E195" s="763"/>
      <c r="F195" s="737"/>
      <c r="G195" s="738"/>
      <c r="H195" s="739"/>
      <c r="I195" s="747"/>
      <c r="J195" s="748"/>
      <c r="K195" s="749"/>
      <c r="L195" s="747" t="s">
        <v>553</v>
      </c>
      <c r="M195" s="802"/>
      <c r="N195" s="802"/>
      <c r="O195" s="803"/>
      <c r="P195" s="747" t="s">
        <v>554</v>
      </c>
      <c r="Q195" s="748"/>
      <c r="R195" s="748"/>
      <c r="S195" s="749"/>
      <c r="T195" s="747" t="s">
        <v>554</v>
      </c>
      <c r="U195" s="748"/>
      <c r="V195" s="748"/>
      <c r="W195" s="749"/>
      <c r="X195" s="616"/>
      <c r="Y195" s="14"/>
      <c r="AH195" s="531"/>
    </row>
    <row r="196" spans="1:34" ht="110.25" customHeight="1">
      <c r="A196" s="778"/>
      <c r="B196" s="761"/>
      <c r="C196" s="762"/>
      <c r="D196" s="762"/>
      <c r="E196" s="763"/>
      <c r="F196" s="740"/>
      <c r="G196" s="741"/>
      <c r="H196" s="742"/>
      <c r="I196" s="750"/>
      <c r="J196" s="751"/>
      <c r="K196" s="752"/>
      <c r="L196" s="804"/>
      <c r="M196" s="805"/>
      <c r="N196" s="805"/>
      <c r="O196" s="806"/>
      <c r="P196" s="750"/>
      <c r="Q196" s="751"/>
      <c r="R196" s="751"/>
      <c r="S196" s="752"/>
      <c r="T196" s="750"/>
      <c r="U196" s="751"/>
      <c r="V196" s="751"/>
      <c r="W196" s="752"/>
      <c r="X196" s="616"/>
      <c r="Y196" s="14"/>
      <c r="AH196" s="531"/>
    </row>
    <row r="197" spans="1:34" ht="12.75" customHeight="1">
      <c r="A197" s="778"/>
      <c r="B197" s="761"/>
      <c r="C197" s="762"/>
      <c r="D197" s="762"/>
      <c r="E197" s="763"/>
      <c r="F197" s="813">
        <f>IF(Y198=0,IF(FIO="","",0),"")</f>
      </c>
      <c r="G197" s="744"/>
      <c r="H197" s="745"/>
      <c r="I197" s="807"/>
      <c r="J197" s="808"/>
      <c r="K197" s="809"/>
      <c r="L197" s="770"/>
      <c r="M197" s="770"/>
      <c r="N197" s="770"/>
      <c r="O197" s="770"/>
      <c r="P197" s="770"/>
      <c r="Q197" s="770"/>
      <c r="R197" s="770"/>
      <c r="S197" s="770"/>
      <c r="T197" s="770"/>
      <c r="U197" s="770"/>
      <c r="V197" s="770"/>
      <c r="W197" s="770"/>
      <c r="X197" s="616"/>
      <c r="Z197" s="264" t="s">
        <v>209</v>
      </c>
      <c r="AA197" s="265" t="s">
        <v>281</v>
      </c>
      <c r="AE197" s="568" t="s">
        <v>4</v>
      </c>
      <c r="AF197" s="569" t="s">
        <v>3</v>
      </c>
      <c r="AH197" s="531"/>
    </row>
    <row r="198" spans="1:34" ht="12.75" customHeight="1">
      <c r="A198" s="779"/>
      <c r="B198" s="764"/>
      <c r="C198" s="765"/>
      <c r="D198" s="765"/>
      <c r="E198" s="766"/>
      <c r="F198" s="740"/>
      <c r="G198" s="741"/>
      <c r="H198" s="742"/>
      <c r="I198" s="810"/>
      <c r="J198" s="811"/>
      <c r="K198" s="812"/>
      <c r="L198" s="770"/>
      <c r="M198" s="770"/>
      <c r="N198" s="770"/>
      <c r="O198" s="770"/>
      <c r="P198" s="770"/>
      <c r="Q198" s="770"/>
      <c r="R198" s="770"/>
      <c r="S198" s="770"/>
      <c r="T198" s="770"/>
      <c r="U198" s="770"/>
      <c r="V198" s="770"/>
      <c r="W198" s="770"/>
      <c r="X198" s="616"/>
      <c r="Y198" s="280">
        <f>SUM(I197:W198)</f>
        <v>0</v>
      </c>
      <c r="Z198" s="266">
        <v>130</v>
      </c>
      <c r="AA198" s="283">
        <f>IF(z_kateg="высшая",AE198,AF198)</f>
        <v>10</v>
      </c>
      <c r="AE198" s="570">
        <v>30</v>
      </c>
      <c r="AF198" s="571">
        <v>10</v>
      </c>
      <c r="AH198" s="531"/>
    </row>
    <row r="199" spans="1:34" ht="14.25">
      <c r="A199" s="792" t="s">
        <v>204</v>
      </c>
      <c r="B199" s="795" t="s">
        <v>205</v>
      </c>
      <c r="C199" s="796"/>
      <c r="D199" s="796"/>
      <c r="E199" s="796"/>
      <c r="F199" s="799" t="s">
        <v>206</v>
      </c>
      <c r="G199" s="800"/>
      <c r="H199" s="800"/>
      <c r="I199" s="800"/>
      <c r="J199" s="800"/>
      <c r="K199" s="800"/>
      <c r="L199" s="800"/>
      <c r="M199" s="800"/>
      <c r="N199" s="800"/>
      <c r="O199" s="800"/>
      <c r="P199" s="800"/>
      <c r="Q199" s="800"/>
      <c r="R199" s="800"/>
      <c r="S199" s="800"/>
      <c r="T199" s="800"/>
      <c r="U199" s="800"/>
      <c r="V199" s="800"/>
      <c r="W199" s="801"/>
      <c r="X199" s="616"/>
      <c r="Y199" s="14"/>
      <c r="AA199" s="14"/>
      <c r="AC199" s="14"/>
      <c r="AE199" s="329"/>
      <c r="AH199" s="531"/>
    </row>
    <row r="200" spans="1:34" ht="14.25" customHeight="1">
      <c r="A200" s="793"/>
      <c r="B200" s="797"/>
      <c r="C200" s="798"/>
      <c r="D200" s="798"/>
      <c r="E200" s="798"/>
      <c r="F200" s="731" t="s">
        <v>211</v>
      </c>
      <c r="G200" s="732"/>
      <c r="H200" s="732"/>
      <c r="I200" s="732"/>
      <c r="J200" s="732"/>
      <c r="K200" s="732"/>
      <c r="L200" s="732"/>
      <c r="M200" s="732"/>
      <c r="N200" s="732"/>
      <c r="O200" s="732"/>
      <c r="P200" s="732"/>
      <c r="Q200" s="732"/>
      <c r="R200" s="732"/>
      <c r="S200" s="732"/>
      <c r="T200" s="732"/>
      <c r="U200" s="732"/>
      <c r="V200" s="732"/>
      <c r="W200" s="733"/>
      <c r="X200" s="616"/>
      <c r="Y200" s="14"/>
      <c r="Z200" s="14"/>
      <c r="AA200" s="14"/>
      <c r="AB200" s="14"/>
      <c r="AC200" s="14"/>
      <c r="AD200" s="14"/>
      <c r="AE200" s="329"/>
      <c r="AH200" s="531"/>
    </row>
    <row r="201" spans="1:34" ht="14.25" customHeight="1">
      <c r="A201" s="794"/>
      <c r="B201" s="797"/>
      <c r="C201" s="798"/>
      <c r="D201" s="798"/>
      <c r="E201" s="798"/>
      <c r="F201" s="734">
        <v>0</v>
      </c>
      <c r="G201" s="735"/>
      <c r="H201" s="736"/>
      <c r="I201" s="753" t="s">
        <v>593</v>
      </c>
      <c r="J201" s="754"/>
      <c r="K201" s="755"/>
      <c r="L201" s="753" t="s">
        <v>270</v>
      </c>
      <c r="M201" s="754"/>
      <c r="N201" s="754"/>
      <c r="O201" s="755"/>
      <c r="P201" s="753" t="s">
        <v>271</v>
      </c>
      <c r="Q201" s="754"/>
      <c r="R201" s="754"/>
      <c r="S201" s="755"/>
      <c r="T201" s="753" t="s">
        <v>563</v>
      </c>
      <c r="U201" s="754"/>
      <c r="V201" s="754"/>
      <c r="W201" s="755"/>
      <c r="X201" s="616"/>
      <c r="Y201" s="14"/>
      <c r="Z201" s="14"/>
      <c r="AA201" s="14"/>
      <c r="AB201" s="14"/>
      <c r="AC201" s="14"/>
      <c r="AD201" s="14"/>
      <c r="AE201" s="329"/>
      <c r="AH201" s="531"/>
    </row>
    <row r="202" spans="1:34" ht="12.75" customHeight="1">
      <c r="A202" s="777" t="s">
        <v>555</v>
      </c>
      <c r="B202" s="725" t="s">
        <v>556</v>
      </c>
      <c r="C202" s="726"/>
      <c r="D202" s="726"/>
      <c r="E202" s="727"/>
      <c r="F202" s="743" t="s">
        <v>212</v>
      </c>
      <c r="G202" s="756"/>
      <c r="H202" s="757"/>
      <c r="I202" s="743" t="s">
        <v>546</v>
      </c>
      <c r="J202" s="756"/>
      <c r="K202" s="757"/>
      <c r="L202" s="743" t="s">
        <v>545</v>
      </c>
      <c r="M202" s="756"/>
      <c r="N202" s="756"/>
      <c r="O202" s="757"/>
      <c r="P202" s="743" t="s">
        <v>307</v>
      </c>
      <c r="Q202" s="756"/>
      <c r="R202" s="756"/>
      <c r="S202" s="757"/>
      <c r="T202" s="743" t="s">
        <v>362</v>
      </c>
      <c r="U202" s="756"/>
      <c r="V202" s="756"/>
      <c r="W202" s="757"/>
      <c r="X202" s="616"/>
      <c r="Y202" s="14"/>
      <c r="AA202" s="14"/>
      <c r="AB202" s="14"/>
      <c r="AC202" s="14"/>
      <c r="AH202" s="531"/>
    </row>
    <row r="203" spans="1:34" ht="12.75" customHeight="1">
      <c r="A203" s="778"/>
      <c r="B203" s="728"/>
      <c r="C203" s="729"/>
      <c r="D203" s="729"/>
      <c r="E203" s="730"/>
      <c r="F203" s="758"/>
      <c r="G203" s="759"/>
      <c r="H203" s="760"/>
      <c r="I203" s="758"/>
      <c r="J203" s="759"/>
      <c r="K203" s="760"/>
      <c r="L203" s="758"/>
      <c r="M203" s="759"/>
      <c r="N203" s="759"/>
      <c r="O203" s="760"/>
      <c r="P203" s="758"/>
      <c r="Q203" s="759"/>
      <c r="R203" s="759"/>
      <c r="S203" s="760"/>
      <c r="T203" s="758"/>
      <c r="U203" s="759"/>
      <c r="V203" s="759"/>
      <c r="W203" s="760"/>
      <c r="X203" s="616"/>
      <c r="Y203" s="14"/>
      <c r="AA203" s="14"/>
      <c r="AB203" s="14"/>
      <c r="AC203" s="14"/>
      <c r="AH203" s="531"/>
    </row>
    <row r="204" spans="1:34" ht="3.75" customHeight="1">
      <c r="A204" s="778"/>
      <c r="B204" s="728"/>
      <c r="C204" s="729"/>
      <c r="D204" s="729"/>
      <c r="E204" s="730"/>
      <c r="F204" s="758"/>
      <c r="G204" s="759"/>
      <c r="H204" s="760"/>
      <c r="I204" s="758"/>
      <c r="J204" s="759"/>
      <c r="K204" s="760"/>
      <c r="L204" s="758"/>
      <c r="M204" s="759"/>
      <c r="N204" s="759"/>
      <c r="O204" s="760"/>
      <c r="P204" s="758"/>
      <c r="Q204" s="759"/>
      <c r="R204" s="759"/>
      <c r="S204" s="760"/>
      <c r="T204" s="758"/>
      <c r="U204" s="759"/>
      <c r="V204" s="759"/>
      <c r="W204" s="760"/>
      <c r="X204" s="616"/>
      <c r="Y204" s="14"/>
      <c r="AA204" s="14"/>
      <c r="AB204" s="14"/>
      <c r="AC204" s="14"/>
      <c r="AH204" s="531"/>
    </row>
    <row r="205" spans="1:34" ht="12.75" customHeight="1">
      <c r="A205" s="778"/>
      <c r="B205" s="761" t="s">
        <v>558</v>
      </c>
      <c r="C205" s="762"/>
      <c r="D205" s="762"/>
      <c r="E205" s="763"/>
      <c r="F205" s="737"/>
      <c r="G205" s="787"/>
      <c r="H205" s="788"/>
      <c r="I205" s="747" t="s">
        <v>557</v>
      </c>
      <c r="J205" s="748"/>
      <c r="K205" s="749"/>
      <c r="L205" s="781" t="s">
        <v>559</v>
      </c>
      <c r="M205" s="782"/>
      <c r="N205" s="782"/>
      <c r="O205" s="783"/>
      <c r="P205" s="781" t="s">
        <v>561</v>
      </c>
      <c r="Q205" s="782"/>
      <c r="R205" s="782"/>
      <c r="S205" s="783"/>
      <c r="T205" s="781" t="s">
        <v>562</v>
      </c>
      <c r="U205" s="782"/>
      <c r="V205" s="782"/>
      <c r="W205" s="783"/>
      <c r="X205" s="616"/>
      <c r="Y205" s="14"/>
      <c r="AH205" s="531"/>
    </row>
    <row r="206" spans="1:34" ht="12.75">
      <c r="A206" s="778"/>
      <c r="B206" s="761"/>
      <c r="C206" s="762"/>
      <c r="D206" s="762"/>
      <c r="E206" s="763"/>
      <c r="F206" s="737"/>
      <c r="G206" s="787"/>
      <c r="H206" s="788"/>
      <c r="I206" s="747"/>
      <c r="J206" s="748"/>
      <c r="K206" s="749"/>
      <c r="L206" s="781"/>
      <c r="M206" s="782"/>
      <c r="N206" s="782"/>
      <c r="O206" s="783"/>
      <c r="P206" s="781"/>
      <c r="Q206" s="782"/>
      <c r="R206" s="782"/>
      <c r="S206" s="783"/>
      <c r="T206" s="781"/>
      <c r="U206" s="782"/>
      <c r="V206" s="782"/>
      <c r="W206" s="783"/>
      <c r="X206" s="616"/>
      <c r="Y206" s="14"/>
      <c r="AH206" s="531"/>
    </row>
    <row r="207" spans="1:34" ht="12.75">
      <c r="A207" s="778"/>
      <c r="B207" s="761"/>
      <c r="C207" s="762"/>
      <c r="D207" s="762"/>
      <c r="E207" s="763"/>
      <c r="F207" s="737"/>
      <c r="G207" s="787"/>
      <c r="H207" s="788"/>
      <c r="I207" s="868" t="s">
        <v>560</v>
      </c>
      <c r="J207" s="869"/>
      <c r="K207" s="870"/>
      <c r="L207" s="747" t="s">
        <v>306</v>
      </c>
      <c r="M207" s="748"/>
      <c r="N207" s="748"/>
      <c r="O207" s="749"/>
      <c r="P207" s="747" t="s">
        <v>285</v>
      </c>
      <c r="Q207" s="748"/>
      <c r="R207" s="748"/>
      <c r="S207" s="749"/>
      <c r="T207" s="747" t="s">
        <v>429</v>
      </c>
      <c r="U207" s="748"/>
      <c r="V207" s="748"/>
      <c r="W207" s="749"/>
      <c r="X207" s="616"/>
      <c r="Y207" s="14"/>
      <c r="AH207" s="531"/>
    </row>
    <row r="208" spans="1:34" ht="4.5" customHeight="1">
      <c r="A208" s="778"/>
      <c r="B208" s="761"/>
      <c r="C208" s="762"/>
      <c r="D208" s="762"/>
      <c r="E208" s="763"/>
      <c r="F208" s="789"/>
      <c r="G208" s="790"/>
      <c r="H208" s="791"/>
      <c r="I208" s="871"/>
      <c r="J208" s="872"/>
      <c r="K208" s="873"/>
      <c r="L208" s="750"/>
      <c r="M208" s="751"/>
      <c r="N208" s="751"/>
      <c r="O208" s="752"/>
      <c r="P208" s="750"/>
      <c r="Q208" s="751"/>
      <c r="R208" s="751"/>
      <c r="S208" s="752"/>
      <c r="T208" s="750"/>
      <c r="U208" s="751"/>
      <c r="V208" s="751"/>
      <c r="W208" s="752"/>
      <c r="X208" s="616"/>
      <c r="Y208" s="14"/>
      <c r="AH208" s="531"/>
    </row>
    <row r="209" spans="1:34" ht="12.75" customHeight="1">
      <c r="A209" s="778"/>
      <c r="B209" s="761"/>
      <c r="C209" s="762"/>
      <c r="D209" s="762"/>
      <c r="E209" s="763"/>
      <c r="F209" s="813">
        <f>IF(Y210=0,IF(FIO="","",0),"")</f>
      </c>
      <c r="G209" s="744"/>
      <c r="H209" s="745"/>
      <c r="I209" s="807"/>
      <c r="J209" s="808"/>
      <c r="K209" s="809"/>
      <c r="L209" s="770"/>
      <c r="M209" s="770"/>
      <c r="N209" s="770"/>
      <c r="O209" s="770"/>
      <c r="P209" s="770"/>
      <c r="Q209" s="770"/>
      <c r="R209" s="770"/>
      <c r="S209" s="770"/>
      <c r="T209" s="770"/>
      <c r="U209" s="770"/>
      <c r="V209" s="770"/>
      <c r="W209" s="770"/>
      <c r="X209" s="616"/>
      <c r="Z209" s="264" t="s">
        <v>209</v>
      </c>
      <c r="AA209" s="265" t="s">
        <v>281</v>
      </c>
      <c r="AE209" s="568" t="s">
        <v>4</v>
      </c>
      <c r="AF209" s="569" t="s">
        <v>3</v>
      </c>
      <c r="AH209" s="531"/>
    </row>
    <row r="210" spans="1:34" ht="12.75" customHeight="1">
      <c r="A210" s="779"/>
      <c r="B210" s="764"/>
      <c r="C210" s="765"/>
      <c r="D210" s="765"/>
      <c r="E210" s="766"/>
      <c r="F210" s="740"/>
      <c r="G210" s="741"/>
      <c r="H210" s="742"/>
      <c r="I210" s="810"/>
      <c r="J210" s="811"/>
      <c r="K210" s="812"/>
      <c r="L210" s="770"/>
      <c r="M210" s="770"/>
      <c r="N210" s="770"/>
      <c r="O210" s="770"/>
      <c r="P210" s="770"/>
      <c r="Q210" s="770"/>
      <c r="R210" s="770"/>
      <c r="S210" s="770"/>
      <c r="T210" s="770"/>
      <c r="U210" s="770"/>
      <c r="V210" s="770"/>
      <c r="W210" s="770"/>
      <c r="X210" s="616"/>
      <c r="Y210" s="280">
        <f>SUM(I209:W210)</f>
        <v>0</v>
      </c>
      <c r="Z210" s="266">
        <v>130</v>
      </c>
      <c r="AA210" s="283">
        <f>IF(z_kateg="высшая",AE210,AF210)</f>
        <v>10</v>
      </c>
      <c r="AE210" s="570">
        <v>20</v>
      </c>
      <c r="AF210" s="571">
        <v>10</v>
      </c>
      <c r="AH210" s="531"/>
    </row>
    <row r="211" spans="1:45" ht="13.5">
      <c r="A211" s="368"/>
      <c r="B211" s="286"/>
      <c r="C211" s="286"/>
      <c r="D211" s="286"/>
      <c r="E211" s="285"/>
      <c r="F211" s="285"/>
      <c r="G211" s="285"/>
      <c r="H211" s="285"/>
      <c r="I211" s="285"/>
      <c r="J211" s="285"/>
      <c r="K211" s="285"/>
      <c r="T211" s="285"/>
      <c r="U211" s="285"/>
      <c r="V211" s="285"/>
      <c r="W211" s="285"/>
      <c r="X211" s="616"/>
      <c r="AH211" s="531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1:45" ht="6" customHeight="1">
      <c r="A212" s="785" t="s">
        <v>210</v>
      </c>
      <c r="B212" s="784" t="s">
        <v>564</v>
      </c>
      <c r="C212" s="784"/>
      <c r="D212" s="784"/>
      <c r="E212" s="784"/>
      <c r="F212" s="784"/>
      <c r="G212" s="784"/>
      <c r="H212" s="784"/>
      <c r="I212" s="784"/>
      <c r="J212" s="784"/>
      <c r="K212" s="784"/>
      <c r="L212" s="784"/>
      <c r="M212" s="784"/>
      <c r="N212" s="784"/>
      <c r="O212" s="784"/>
      <c r="P212" s="784"/>
      <c r="Q212" s="784"/>
      <c r="R212" s="784"/>
      <c r="S212" s="784"/>
      <c r="T212" s="784"/>
      <c r="U212" s="784"/>
      <c r="V212" s="784"/>
      <c r="W212" s="784"/>
      <c r="X212" s="616"/>
      <c r="AD212" s="202"/>
      <c r="AG212" s="14"/>
      <c r="AH212" s="531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5" ht="12.75" customHeight="1">
      <c r="A213" s="786"/>
      <c r="B213" s="784"/>
      <c r="C213" s="784"/>
      <c r="D213" s="784"/>
      <c r="E213" s="784"/>
      <c r="F213" s="784"/>
      <c r="G213" s="784"/>
      <c r="H213" s="784"/>
      <c r="I213" s="784"/>
      <c r="J213" s="784"/>
      <c r="K213" s="784"/>
      <c r="L213" s="784"/>
      <c r="M213" s="784"/>
      <c r="N213" s="784"/>
      <c r="O213" s="784"/>
      <c r="P213" s="784"/>
      <c r="Q213" s="784"/>
      <c r="R213" s="784"/>
      <c r="S213" s="784"/>
      <c r="T213" s="784"/>
      <c r="U213" s="784"/>
      <c r="V213" s="784"/>
      <c r="W213" s="784"/>
      <c r="X213" s="616"/>
      <c r="AD213" s="202"/>
      <c r="AG213" s="14"/>
      <c r="AH213" s="531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1:45" ht="12.75">
      <c r="A214" s="786"/>
      <c r="B214" s="784"/>
      <c r="C214" s="784"/>
      <c r="D214" s="784"/>
      <c r="E214" s="784"/>
      <c r="F214" s="784"/>
      <c r="G214" s="784"/>
      <c r="H214" s="784"/>
      <c r="I214" s="784"/>
      <c r="J214" s="784"/>
      <c r="K214" s="784"/>
      <c r="L214" s="784"/>
      <c r="M214" s="784"/>
      <c r="N214" s="784"/>
      <c r="O214" s="784"/>
      <c r="P214" s="784"/>
      <c r="Q214" s="784"/>
      <c r="R214" s="784"/>
      <c r="S214" s="784"/>
      <c r="T214" s="784"/>
      <c r="U214" s="784"/>
      <c r="V214" s="784"/>
      <c r="W214" s="784"/>
      <c r="X214" s="616"/>
      <c r="AD214" s="202"/>
      <c r="AG214" s="14"/>
      <c r="AH214" s="531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ht="12.75" customHeight="1">
      <c r="A215" s="786"/>
      <c r="B215" s="784"/>
      <c r="C215" s="784"/>
      <c r="D215" s="784"/>
      <c r="E215" s="784"/>
      <c r="F215" s="784"/>
      <c r="G215" s="784"/>
      <c r="H215" s="784"/>
      <c r="I215" s="784"/>
      <c r="J215" s="784"/>
      <c r="K215" s="784"/>
      <c r="L215" s="784"/>
      <c r="M215" s="784"/>
      <c r="N215" s="784"/>
      <c r="O215" s="784"/>
      <c r="P215" s="784"/>
      <c r="Q215" s="784"/>
      <c r="R215" s="784"/>
      <c r="S215" s="784"/>
      <c r="T215" s="784"/>
      <c r="U215" s="784"/>
      <c r="V215" s="784"/>
      <c r="W215" s="784"/>
      <c r="X215" s="616"/>
      <c r="AD215" s="202"/>
      <c r="AG215" s="14"/>
      <c r="AH215" s="531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1:45" ht="13.5" customHeight="1">
      <c r="A216" s="786"/>
      <c r="B216" s="784"/>
      <c r="C216" s="784"/>
      <c r="D216" s="784"/>
      <c r="E216" s="784"/>
      <c r="F216" s="784"/>
      <c r="G216" s="784"/>
      <c r="H216" s="784"/>
      <c r="I216" s="784"/>
      <c r="J216" s="784"/>
      <c r="K216" s="784"/>
      <c r="L216" s="784"/>
      <c r="M216" s="784"/>
      <c r="N216" s="784"/>
      <c r="O216" s="784"/>
      <c r="P216" s="784"/>
      <c r="Q216" s="784"/>
      <c r="R216" s="784"/>
      <c r="S216" s="784"/>
      <c r="T216" s="784"/>
      <c r="U216" s="784"/>
      <c r="V216" s="784"/>
      <c r="W216" s="784"/>
      <c r="X216" s="616"/>
      <c r="AD216" s="202"/>
      <c r="AG216" s="14"/>
      <c r="AH216" s="531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5" ht="13.5" customHeight="1" hidden="1">
      <c r="A217" s="786"/>
      <c r="B217" s="784"/>
      <c r="C217" s="784"/>
      <c r="D217" s="784"/>
      <c r="E217" s="784"/>
      <c r="F217" s="784"/>
      <c r="G217" s="784"/>
      <c r="H217" s="784"/>
      <c r="I217" s="784"/>
      <c r="J217" s="784"/>
      <c r="K217" s="784"/>
      <c r="L217" s="784"/>
      <c r="M217" s="784"/>
      <c r="N217" s="784"/>
      <c r="O217" s="784"/>
      <c r="P217" s="784"/>
      <c r="Q217" s="784"/>
      <c r="R217" s="784"/>
      <c r="S217" s="784"/>
      <c r="T217" s="784"/>
      <c r="U217" s="784"/>
      <c r="V217" s="784"/>
      <c r="W217" s="784"/>
      <c r="X217" s="616"/>
      <c r="AD217" s="202"/>
      <c r="AG217" s="14"/>
      <c r="AH217" s="531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1:45" ht="13.5" customHeight="1" hidden="1">
      <c r="A218" s="786"/>
      <c r="B218" s="784"/>
      <c r="C218" s="784"/>
      <c r="D218" s="784"/>
      <c r="E218" s="784"/>
      <c r="F218" s="784"/>
      <c r="G218" s="784"/>
      <c r="H218" s="784"/>
      <c r="I218" s="784"/>
      <c r="J218" s="784"/>
      <c r="K218" s="784"/>
      <c r="L218" s="784"/>
      <c r="M218" s="784"/>
      <c r="N218" s="784"/>
      <c r="O218" s="784"/>
      <c r="P218" s="784"/>
      <c r="Q218" s="784"/>
      <c r="R218" s="784"/>
      <c r="S218" s="784"/>
      <c r="T218" s="784"/>
      <c r="U218" s="784"/>
      <c r="V218" s="784"/>
      <c r="W218" s="784"/>
      <c r="X218" s="616"/>
      <c r="AD218" s="202"/>
      <c r="AG218" s="14"/>
      <c r="AH218" s="531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5" ht="9.75" customHeight="1">
      <c r="A219" s="786"/>
      <c r="B219" s="784"/>
      <c r="C219" s="784"/>
      <c r="D219" s="784"/>
      <c r="E219" s="784"/>
      <c r="F219" s="784"/>
      <c r="G219" s="784"/>
      <c r="H219" s="784"/>
      <c r="I219" s="784"/>
      <c r="J219" s="784"/>
      <c r="K219" s="784"/>
      <c r="L219" s="784"/>
      <c r="M219" s="784"/>
      <c r="N219" s="784"/>
      <c r="O219" s="784"/>
      <c r="P219" s="784"/>
      <c r="Q219" s="784"/>
      <c r="R219" s="784"/>
      <c r="S219" s="784"/>
      <c r="T219" s="784"/>
      <c r="U219" s="784"/>
      <c r="V219" s="784"/>
      <c r="W219" s="784"/>
      <c r="X219" s="616"/>
      <c r="AD219" s="202"/>
      <c r="AG219" s="14"/>
      <c r="AH219" s="531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1:45" ht="14.25" customHeight="1">
      <c r="A220" s="786"/>
      <c r="B220" s="855" t="s">
        <v>565</v>
      </c>
      <c r="C220" s="855"/>
      <c r="D220" s="855"/>
      <c r="E220" s="855"/>
      <c r="F220" s="855"/>
      <c r="G220" s="855"/>
      <c r="H220" s="855"/>
      <c r="I220" s="855"/>
      <c r="J220" s="855"/>
      <c r="K220" s="855"/>
      <c r="L220" s="855"/>
      <c r="M220" s="855"/>
      <c r="N220" s="855"/>
      <c r="O220" s="855"/>
      <c r="P220" s="855"/>
      <c r="Q220" s="855"/>
      <c r="R220" s="855"/>
      <c r="S220" s="855"/>
      <c r="T220" s="855"/>
      <c r="U220" s="855"/>
      <c r="V220" s="855"/>
      <c r="W220" s="855"/>
      <c r="X220" s="616"/>
      <c r="AD220" s="202"/>
      <c r="AG220" s="14"/>
      <c r="AH220" s="531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5" ht="14.25" customHeight="1">
      <c r="A221" s="786"/>
      <c r="B221" s="855"/>
      <c r="C221" s="855"/>
      <c r="D221" s="855"/>
      <c r="E221" s="855"/>
      <c r="F221" s="855"/>
      <c r="G221" s="855"/>
      <c r="H221" s="855"/>
      <c r="I221" s="855"/>
      <c r="J221" s="855"/>
      <c r="K221" s="855"/>
      <c r="L221" s="855"/>
      <c r="M221" s="855"/>
      <c r="N221" s="855"/>
      <c r="O221" s="855"/>
      <c r="P221" s="855"/>
      <c r="Q221" s="855"/>
      <c r="R221" s="855"/>
      <c r="S221" s="855"/>
      <c r="T221" s="855"/>
      <c r="U221" s="855"/>
      <c r="V221" s="855"/>
      <c r="W221" s="855"/>
      <c r="X221" s="616"/>
      <c r="AD221" s="202"/>
      <c r="AG221" s="14"/>
      <c r="AH221" s="531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ht="14.25" customHeight="1">
      <c r="A222" s="786"/>
      <c r="B222" s="855"/>
      <c r="C222" s="855"/>
      <c r="D222" s="855"/>
      <c r="E222" s="855"/>
      <c r="F222" s="855"/>
      <c r="G222" s="855"/>
      <c r="H222" s="855"/>
      <c r="I222" s="855"/>
      <c r="J222" s="855"/>
      <c r="K222" s="855"/>
      <c r="L222" s="855"/>
      <c r="M222" s="855"/>
      <c r="N222" s="855"/>
      <c r="O222" s="855"/>
      <c r="P222" s="855"/>
      <c r="Q222" s="855"/>
      <c r="R222" s="855"/>
      <c r="S222" s="855"/>
      <c r="T222" s="855"/>
      <c r="U222" s="855"/>
      <c r="V222" s="855"/>
      <c r="W222" s="855"/>
      <c r="X222" s="616"/>
      <c r="AD222" s="202"/>
      <c r="AG222" s="14"/>
      <c r="AH222" s="531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5" ht="6" customHeight="1">
      <c r="A223" s="294"/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616"/>
      <c r="AD223" s="202"/>
      <c r="AG223" s="14"/>
      <c r="AH223" s="531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1:34" ht="15" customHeight="1">
      <c r="A224" s="263" t="s">
        <v>191</v>
      </c>
      <c r="B224" s="927" t="s">
        <v>217</v>
      </c>
      <c r="C224" s="927"/>
      <c r="D224" s="927"/>
      <c r="E224" s="927"/>
      <c r="F224" s="927"/>
      <c r="G224" s="927"/>
      <c r="H224" s="927"/>
      <c r="I224" s="927"/>
      <c r="J224" s="927"/>
      <c r="K224" s="927"/>
      <c r="L224" s="927"/>
      <c r="M224" s="927"/>
      <c r="N224" s="927"/>
      <c r="O224" s="927"/>
      <c r="P224" s="927"/>
      <c r="Q224" s="927"/>
      <c r="R224" s="927"/>
      <c r="S224" s="927"/>
      <c r="T224" s="927"/>
      <c r="U224" s="927"/>
      <c r="V224" s="927"/>
      <c r="W224" s="927"/>
      <c r="X224" s="616"/>
      <c r="Y224" s="303" t="str">
        <f>A224</f>
        <v>3.</v>
      </c>
      <c r="Z224" s="302"/>
      <c r="AA224" s="264" t="s">
        <v>282</v>
      </c>
      <c r="AB224" s="264" t="s">
        <v>209</v>
      </c>
      <c r="AC224" s="264" t="s">
        <v>281</v>
      </c>
      <c r="AE224" s="559" t="s">
        <v>283</v>
      </c>
      <c r="AG224" s="301"/>
      <c r="AH224" s="531"/>
    </row>
    <row r="225" spans="2:34" ht="15" customHeight="1">
      <c r="B225" s="927"/>
      <c r="C225" s="927"/>
      <c r="D225" s="927"/>
      <c r="E225" s="927"/>
      <c r="F225" s="927"/>
      <c r="G225" s="927"/>
      <c r="H225" s="927"/>
      <c r="I225" s="927"/>
      <c r="J225" s="927"/>
      <c r="K225" s="927"/>
      <c r="L225" s="927"/>
      <c r="M225" s="927"/>
      <c r="N225" s="927"/>
      <c r="O225" s="927"/>
      <c r="P225" s="927"/>
      <c r="Q225" s="927"/>
      <c r="R225" s="927"/>
      <c r="S225" s="927"/>
      <c r="T225" s="927"/>
      <c r="U225" s="927"/>
      <c r="V225" s="927"/>
      <c r="W225" s="927"/>
      <c r="X225" s="616"/>
      <c r="Z225" s="284" t="s">
        <v>291</v>
      </c>
      <c r="AA225" s="281">
        <f>SUM(Y226:Y403)</f>
        <v>0</v>
      </c>
      <c r="AB225" s="266">
        <f>SUM(Z226:Z403)</f>
        <v>930</v>
      </c>
      <c r="AC225" s="283">
        <f>SUM(AA226:AA403)</f>
        <v>120</v>
      </c>
      <c r="AD225" s="298"/>
      <c r="AE225" s="559" t="b">
        <f>итого_2&gt;=AC225</f>
        <v>0</v>
      </c>
      <c r="AH225" s="531"/>
    </row>
    <row r="226" spans="1:64" ht="13.5" customHeight="1">
      <c r="A226" s="845" t="s">
        <v>202</v>
      </c>
      <c r="B226" s="845"/>
      <c r="C226" s="845"/>
      <c r="D226" s="845"/>
      <c r="E226" s="845"/>
      <c r="F226" s="845"/>
      <c r="G226" s="845"/>
      <c r="H226" s="845"/>
      <c r="I226" s="845"/>
      <c r="J226" s="845"/>
      <c r="K226" s="845"/>
      <c r="L226" s="845"/>
      <c r="M226" s="845"/>
      <c r="N226" s="845"/>
      <c r="O226" s="845"/>
      <c r="P226" s="845"/>
      <c r="Q226" s="845"/>
      <c r="R226" s="845"/>
      <c r="S226" s="845"/>
      <c r="T226" s="845"/>
      <c r="U226" s="845"/>
      <c r="V226" s="845"/>
      <c r="W226" s="845"/>
      <c r="X226" s="616"/>
      <c r="Y226" s="221"/>
      <c r="AB226" s="221"/>
      <c r="AC226" s="221"/>
      <c r="AD226" s="221"/>
      <c r="AF226" s="573"/>
      <c r="AG226" s="221"/>
      <c r="AH226" s="53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  <c r="BB226" s="221"/>
      <c r="BC226" s="221"/>
      <c r="BD226" s="221"/>
      <c r="BE226" s="221"/>
      <c r="BF226" s="221"/>
      <c r="BG226" s="221"/>
      <c r="BH226" s="221"/>
      <c r="BI226" s="221"/>
      <c r="BJ226" s="221"/>
      <c r="BK226" s="221"/>
      <c r="BL226" s="221"/>
    </row>
    <row r="227" spans="1:64" ht="12.75" customHeight="1">
      <c r="A227" s="780" t="s">
        <v>203</v>
      </c>
      <c r="B227" s="821" t="s">
        <v>218</v>
      </c>
      <c r="C227" s="821"/>
      <c r="D227" s="821"/>
      <c r="E227" s="821"/>
      <c r="F227" s="821"/>
      <c r="G227" s="821"/>
      <c r="H227" s="821"/>
      <c r="I227" s="821"/>
      <c r="J227" s="821"/>
      <c r="K227" s="821"/>
      <c r="L227" s="821"/>
      <c r="M227" s="821"/>
      <c r="N227" s="821"/>
      <c r="O227" s="821"/>
      <c r="P227" s="821"/>
      <c r="Q227" s="821"/>
      <c r="R227" s="821"/>
      <c r="S227" s="821"/>
      <c r="T227" s="821"/>
      <c r="U227" s="821"/>
      <c r="V227" s="821"/>
      <c r="W227" s="821"/>
      <c r="X227" s="616"/>
      <c r="Y227" s="221"/>
      <c r="AB227" s="221"/>
      <c r="AC227" s="221"/>
      <c r="AD227" s="221"/>
      <c r="AE227" s="573"/>
      <c r="AF227" s="573"/>
      <c r="AG227" s="221"/>
      <c r="AH227" s="53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1"/>
      <c r="BB227" s="221"/>
      <c r="BC227" s="221"/>
      <c r="BD227" s="221"/>
      <c r="BE227" s="221"/>
      <c r="BF227" s="221"/>
      <c r="BG227" s="221"/>
      <c r="BH227" s="221"/>
      <c r="BI227" s="221"/>
      <c r="BJ227" s="221"/>
      <c r="BK227" s="221"/>
      <c r="BL227" s="221"/>
    </row>
    <row r="228" spans="1:64" ht="12.75" customHeight="1">
      <c r="A228" s="780"/>
      <c r="B228" s="821"/>
      <c r="C228" s="821"/>
      <c r="D228" s="821"/>
      <c r="E228" s="821"/>
      <c r="F228" s="821"/>
      <c r="G228" s="821"/>
      <c r="H228" s="821"/>
      <c r="I228" s="821"/>
      <c r="J228" s="821"/>
      <c r="K228" s="821"/>
      <c r="L228" s="821"/>
      <c r="M228" s="821"/>
      <c r="N228" s="821"/>
      <c r="O228" s="821"/>
      <c r="P228" s="821"/>
      <c r="Q228" s="821"/>
      <c r="R228" s="821"/>
      <c r="S228" s="821"/>
      <c r="T228" s="821"/>
      <c r="U228" s="821"/>
      <c r="V228" s="821"/>
      <c r="W228" s="821"/>
      <c r="X228" s="616"/>
      <c r="Y228" s="221"/>
      <c r="AB228" s="221"/>
      <c r="AC228" s="221"/>
      <c r="AD228" s="221"/>
      <c r="AE228" s="573"/>
      <c r="AF228" s="573"/>
      <c r="AG228" s="221"/>
      <c r="AH228" s="53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  <c r="BI228" s="221"/>
      <c r="BJ228" s="221"/>
      <c r="BK228" s="221"/>
      <c r="BL228" s="221"/>
    </row>
    <row r="229" spans="1:64" ht="12.75" customHeight="1">
      <c r="A229" s="780"/>
      <c r="B229" s="821"/>
      <c r="C229" s="821"/>
      <c r="D229" s="821"/>
      <c r="E229" s="821"/>
      <c r="F229" s="821"/>
      <c r="G229" s="821"/>
      <c r="H229" s="821"/>
      <c r="I229" s="821"/>
      <c r="J229" s="821"/>
      <c r="K229" s="821"/>
      <c r="L229" s="821"/>
      <c r="M229" s="821"/>
      <c r="N229" s="821"/>
      <c r="O229" s="821"/>
      <c r="P229" s="821"/>
      <c r="Q229" s="821"/>
      <c r="R229" s="821"/>
      <c r="S229" s="821"/>
      <c r="T229" s="821"/>
      <c r="U229" s="821"/>
      <c r="V229" s="821"/>
      <c r="W229" s="821"/>
      <c r="X229" s="616"/>
      <c r="Y229" s="221"/>
      <c r="AB229" s="221"/>
      <c r="AC229" s="221"/>
      <c r="AD229" s="221"/>
      <c r="AE229" s="573"/>
      <c r="AF229" s="573"/>
      <c r="AG229" s="221"/>
      <c r="AH229" s="53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  <c r="BB229" s="221"/>
      <c r="BC229" s="221"/>
      <c r="BD229" s="221"/>
      <c r="BE229" s="221"/>
      <c r="BF229" s="221"/>
      <c r="BG229" s="221"/>
      <c r="BH229" s="221"/>
      <c r="BI229" s="221"/>
      <c r="BJ229" s="221"/>
      <c r="BK229" s="221"/>
      <c r="BL229" s="221"/>
    </row>
    <row r="230" spans="1:64" ht="11.25" customHeight="1">
      <c r="A230" s="780"/>
      <c r="B230" s="821"/>
      <c r="C230" s="821"/>
      <c r="D230" s="821"/>
      <c r="E230" s="821"/>
      <c r="F230" s="821"/>
      <c r="G230" s="821"/>
      <c r="H230" s="821"/>
      <c r="I230" s="821"/>
      <c r="J230" s="821"/>
      <c r="K230" s="821"/>
      <c r="L230" s="821"/>
      <c r="M230" s="821"/>
      <c r="N230" s="821"/>
      <c r="O230" s="821"/>
      <c r="P230" s="821"/>
      <c r="Q230" s="821"/>
      <c r="R230" s="821"/>
      <c r="S230" s="821"/>
      <c r="T230" s="821"/>
      <c r="U230" s="821"/>
      <c r="V230" s="821"/>
      <c r="W230" s="821"/>
      <c r="X230" s="616"/>
      <c r="Y230" s="221"/>
      <c r="AB230" s="221"/>
      <c r="AC230" s="221"/>
      <c r="AD230" s="221"/>
      <c r="AE230" s="573"/>
      <c r="AF230" s="573"/>
      <c r="AG230" s="221"/>
      <c r="AH230" s="53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</row>
    <row r="231" spans="1:64" ht="9.75" customHeight="1">
      <c r="A231" s="780"/>
      <c r="B231" s="821"/>
      <c r="C231" s="821"/>
      <c r="D231" s="821"/>
      <c r="E231" s="821"/>
      <c r="F231" s="821"/>
      <c r="G231" s="821"/>
      <c r="H231" s="821"/>
      <c r="I231" s="821"/>
      <c r="J231" s="821"/>
      <c r="K231" s="821"/>
      <c r="L231" s="821"/>
      <c r="M231" s="821"/>
      <c r="N231" s="821"/>
      <c r="O231" s="821"/>
      <c r="P231" s="821"/>
      <c r="Q231" s="821"/>
      <c r="R231" s="821"/>
      <c r="S231" s="821"/>
      <c r="T231" s="821"/>
      <c r="U231" s="821"/>
      <c r="V231" s="821"/>
      <c r="W231" s="821"/>
      <c r="X231" s="616"/>
      <c r="Y231" s="222"/>
      <c r="AB231" s="222"/>
      <c r="AC231" s="222"/>
      <c r="AD231" s="222"/>
      <c r="AE231" s="574"/>
      <c r="AF231" s="574"/>
      <c r="AG231" s="222"/>
      <c r="AH231" s="531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  <c r="BJ231" s="222"/>
      <c r="BK231" s="222"/>
      <c r="BL231" s="222"/>
    </row>
    <row r="232" spans="1:64" ht="12.75" customHeight="1">
      <c r="A232" s="780" t="s">
        <v>203</v>
      </c>
      <c r="B232" s="866" t="s">
        <v>219</v>
      </c>
      <c r="C232" s="866"/>
      <c r="D232" s="866"/>
      <c r="E232" s="866"/>
      <c r="F232" s="866"/>
      <c r="G232" s="866"/>
      <c r="H232" s="866"/>
      <c r="I232" s="866"/>
      <c r="J232" s="866"/>
      <c r="K232" s="866"/>
      <c r="L232" s="866"/>
      <c r="M232" s="866"/>
      <c r="N232" s="866"/>
      <c r="O232" s="866"/>
      <c r="P232" s="866"/>
      <c r="Q232" s="866"/>
      <c r="R232" s="866"/>
      <c r="S232" s="866"/>
      <c r="T232" s="866"/>
      <c r="U232" s="866"/>
      <c r="V232" s="866"/>
      <c r="W232" s="866"/>
      <c r="X232" s="616"/>
      <c r="Y232" s="222"/>
      <c r="Z232" s="222"/>
      <c r="AA232" s="222"/>
      <c r="AB232" s="222"/>
      <c r="AC232" s="222"/>
      <c r="AD232" s="222"/>
      <c r="AE232" s="574"/>
      <c r="AF232" s="574"/>
      <c r="AG232" s="222"/>
      <c r="AH232" s="531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  <c r="BJ232" s="222"/>
      <c r="BK232" s="222"/>
      <c r="BL232" s="222"/>
    </row>
    <row r="233" spans="1:64" ht="12.75" customHeight="1">
      <c r="A233" s="780"/>
      <c r="B233" s="866"/>
      <c r="C233" s="866"/>
      <c r="D233" s="866"/>
      <c r="E233" s="866"/>
      <c r="F233" s="866"/>
      <c r="G233" s="866"/>
      <c r="H233" s="866"/>
      <c r="I233" s="866"/>
      <c r="J233" s="866"/>
      <c r="K233" s="866"/>
      <c r="L233" s="866"/>
      <c r="M233" s="866"/>
      <c r="N233" s="866"/>
      <c r="O233" s="866"/>
      <c r="P233" s="866"/>
      <c r="Q233" s="866"/>
      <c r="R233" s="866"/>
      <c r="S233" s="866"/>
      <c r="T233" s="866"/>
      <c r="U233" s="866"/>
      <c r="V233" s="866"/>
      <c r="W233" s="866"/>
      <c r="X233" s="616"/>
      <c r="Y233" s="222"/>
      <c r="Z233" s="222"/>
      <c r="AA233" s="222"/>
      <c r="AB233" s="222"/>
      <c r="AC233" s="222"/>
      <c r="AD233" s="222"/>
      <c r="AE233" s="574"/>
      <c r="AF233" s="574"/>
      <c r="AG233" s="222"/>
      <c r="AH233" s="531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  <c r="BJ233" s="222"/>
      <c r="BK233" s="222"/>
      <c r="BL233" s="222"/>
    </row>
    <row r="234" spans="1:64" ht="12.75" customHeight="1">
      <c r="A234" s="780"/>
      <c r="B234" s="866"/>
      <c r="C234" s="866"/>
      <c r="D234" s="866"/>
      <c r="E234" s="866"/>
      <c r="F234" s="866"/>
      <c r="G234" s="866"/>
      <c r="H234" s="866"/>
      <c r="I234" s="866"/>
      <c r="J234" s="866"/>
      <c r="K234" s="866"/>
      <c r="L234" s="866"/>
      <c r="M234" s="866"/>
      <c r="N234" s="866"/>
      <c r="O234" s="866"/>
      <c r="P234" s="866"/>
      <c r="Q234" s="866"/>
      <c r="R234" s="866"/>
      <c r="S234" s="866"/>
      <c r="T234" s="866"/>
      <c r="U234" s="866"/>
      <c r="V234" s="866"/>
      <c r="W234" s="866"/>
      <c r="X234" s="616"/>
      <c r="Y234" s="222"/>
      <c r="Z234" s="222"/>
      <c r="AA234" s="222"/>
      <c r="AB234" s="222"/>
      <c r="AC234" s="222"/>
      <c r="AD234" s="222"/>
      <c r="AE234" s="574"/>
      <c r="AF234" s="574"/>
      <c r="AG234" s="222"/>
      <c r="AH234" s="531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22"/>
      <c r="BE234" s="222"/>
      <c r="BF234" s="222"/>
      <c r="BG234" s="222"/>
      <c r="BH234" s="222"/>
      <c r="BI234" s="222"/>
      <c r="BJ234" s="222"/>
      <c r="BK234" s="222"/>
      <c r="BL234" s="222"/>
    </row>
    <row r="235" spans="1:64" ht="12.75" customHeight="1">
      <c r="A235" s="780"/>
      <c r="B235" s="866"/>
      <c r="C235" s="866"/>
      <c r="D235" s="866"/>
      <c r="E235" s="866"/>
      <c r="F235" s="866"/>
      <c r="G235" s="866"/>
      <c r="H235" s="866"/>
      <c r="I235" s="866"/>
      <c r="J235" s="866"/>
      <c r="K235" s="866"/>
      <c r="L235" s="866"/>
      <c r="M235" s="866"/>
      <c r="N235" s="866"/>
      <c r="O235" s="866"/>
      <c r="P235" s="866"/>
      <c r="Q235" s="866"/>
      <c r="R235" s="866"/>
      <c r="S235" s="866"/>
      <c r="T235" s="866"/>
      <c r="U235" s="866"/>
      <c r="V235" s="866"/>
      <c r="W235" s="866"/>
      <c r="X235" s="616"/>
      <c r="Y235" s="222"/>
      <c r="Z235" s="222"/>
      <c r="AA235" s="222"/>
      <c r="AB235" s="222"/>
      <c r="AC235" s="222"/>
      <c r="AD235" s="222"/>
      <c r="AE235" s="574"/>
      <c r="AF235" s="574"/>
      <c r="AG235" s="222"/>
      <c r="AH235" s="531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22"/>
      <c r="BE235" s="222"/>
      <c r="BF235" s="222"/>
      <c r="BG235" s="222"/>
      <c r="BH235" s="222"/>
      <c r="BI235" s="222"/>
      <c r="BJ235" s="222"/>
      <c r="BK235" s="222"/>
      <c r="BL235" s="222"/>
    </row>
    <row r="236" spans="1:64" ht="12.75" customHeight="1">
      <c r="A236" s="780"/>
      <c r="B236" s="866"/>
      <c r="C236" s="866"/>
      <c r="D236" s="866"/>
      <c r="E236" s="866"/>
      <c r="F236" s="866"/>
      <c r="G236" s="866"/>
      <c r="H236" s="866"/>
      <c r="I236" s="866"/>
      <c r="J236" s="866"/>
      <c r="K236" s="866"/>
      <c r="L236" s="866"/>
      <c r="M236" s="866"/>
      <c r="N236" s="866"/>
      <c r="O236" s="866"/>
      <c r="P236" s="866"/>
      <c r="Q236" s="866"/>
      <c r="R236" s="866"/>
      <c r="S236" s="866"/>
      <c r="T236" s="866"/>
      <c r="U236" s="866"/>
      <c r="V236" s="866"/>
      <c r="W236" s="866"/>
      <c r="X236" s="616"/>
      <c r="Y236" s="222"/>
      <c r="Z236" s="222"/>
      <c r="AA236" s="222"/>
      <c r="AB236" s="222"/>
      <c r="AC236" s="222"/>
      <c r="AD236" s="222"/>
      <c r="AE236" s="574"/>
      <c r="AF236" s="574"/>
      <c r="AG236" s="222"/>
      <c r="AH236" s="531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22"/>
      <c r="BE236" s="222"/>
      <c r="BF236" s="222"/>
      <c r="BG236" s="222"/>
      <c r="BH236" s="222"/>
      <c r="BI236" s="222"/>
      <c r="BJ236" s="222"/>
      <c r="BK236" s="222"/>
      <c r="BL236" s="222"/>
    </row>
    <row r="237" spans="1:34" ht="11.25" customHeight="1">
      <c r="A237" s="780"/>
      <c r="B237" s="866"/>
      <c r="C237" s="866"/>
      <c r="D237" s="866"/>
      <c r="E237" s="866"/>
      <c r="F237" s="866"/>
      <c r="G237" s="866"/>
      <c r="H237" s="866"/>
      <c r="I237" s="866"/>
      <c r="J237" s="866"/>
      <c r="K237" s="866"/>
      <c r="L237" s="866"/>
      <c r="M237" s="866"/>
      <c r="N237" s="866"/>
      <c r="O237" s="866"/>
      <c r="P237" s="866"/>
      <c r="Q237" s="866"/>
      <c r="R237" s="866"/>
      <c r="S237" s="866"/>
      <c r="T237" s="866"/>
      <c r="U237" s="866"/>
      <c r="V237" s="866"/>
      <c r="W237" s="866"/>
      <c r="X237" s="616"/>
      <c r="AH237" s="531"/>
    </row>
    <row r="238" spans="1:256" ht="12.75">
      <c r="A238" s="780"/>
      <c r="B238" s="866"/>
      <c r="C238" s="866"/>
      <c r="D238" s="866"/>
      <c r="E238" s="866"/>
      <c r="F238" s="866"/>
      <c r="G238" s="866"/>
      <c r="H238" s="866"/>
      <c r="I238" s="866"/>
      <c r="J238" s="866"/>
      <c r="K238" s="866"/>
      <c r="L238" s="866"/>
      <c r="M238" s="866"/>
      <c r="N238" s="866"/>
      <c r="O238" s="866"/>
      <c r="P238" s="866"/>
      <c r="Q238" s="866"/>
      <c r="R238" s="866"/>
      <c r="S238" s="866"/>
      <c r="T238" s="866"/>
      <c r="U238" s="866"/>
      <c r="V238" s="866"/>
      <c r="W238" s="866"/>
      <c r="X238" s="616"/>
      <c r="Y238" s="204"/>
      <c r="Z238" s="204"/>
      <c r="AA238" s="204"/>
      <c r="AB238" s="204"/>
      <c r="AC238" s="204"/>
      <c r="AD238" s="204"/>
      <c r="AE238" s="556"/>
      <c r="AF238" s="556"/>
      <c r="AG238" s="204"/>
      <c r="AH238" s="531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9"/>
      <c r="BN238" s="161"/>
      <c r="BO238" s="205"/>
      <c r="BP238" s="170"/>
      <c r="BQ238" s="170"/>
      <c r="BR238" s="206"/>
      <c r="BS238" s="170"/>
      <c r="BT238" s="170"/>
      <c r="BU238" s="170"/>
      <c r="BV238" s="170"/>
      <c r="BW238" s="170"/>
      <c r="BX238" s="170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04"/>
      <c r="DD238" s="204"/>
      <c r="DE238" s="204"/>
      <c r="DG238" s="204"/>
      <c r="DH238" s="204"/>
      <c r="DI238" s="204"/>
      <c r="DJ238" s="204"/>
      <c r="DK238" s="204"/>
      <c r="DL238" s="204"/>
      <c r="DM238" s="204"/>
      <c r="DN238" s="204"/>
      <c r="DO238" s="204"/>
      <c r="DP238" s="204"/>
      <c r="DQ238" s="204"/>
      <c r="DR238" s="204"/>
      <c r="DS238" s="204"/>
      <c r="DT238" s="204"/>
      <c r="DU238" s="204"/>
      <c r="DV238" s="204"/>
      <c r="DW238" s="204"/>
      <c r="DX238" s="204"/>
      <c r="DY238" s="204"/>
      <c r="DZ238" s="204"/>
      <c r="EA238" s="204"/>
      <c r="EB238" s="204"/>
      <c r="EC238" s="204"/>
      <c r="ED238" s="204"/>
      <c r="EE238" s="204"/>
      <c r="EF238" s="204"/>
      <c r="EG238" s="204"/>
      <c r="EH238" s="204"/>
      <c r="EI238" s="204"/>
      <c r="EJ238" s="204"/>
      <c r="EK238" s="204"/>
      <c r="EL238" s="204"/>
      <c r="EM238" s="204"/>
      <c r="EN238" s="204"/>
      <c r="EO238" s="204"/>
      <c r="EP238" s="204"/>
      <c r="EQ238" s="204"/>
      <c r="ER238" s="204"/>
      <c r="ES238" s="204"/>
      <c r="ET238" s="204"/>
      <c r="EU238" s="204"/>
      <c r="EV238" s="204"/>
      <c r="EW238" s="204"/>
      <c r="EX238" s="204"/>
      <c r="EY238" s="204"/>
      <c r="EZ238" s="204"/>
      <c r="FA238" s="204"/>
      <c r="FB238" s="204"/>
      <c r="FC238" s="204"/>
      <c r="FD238" s="204"/>
      <c r="FE238" s="204"/>
      <c r="FF238" s="204"/>
      <c r="FG238" s="204"/>
      <c r="FH238" s="204"/>
      <c r="FI238" s="204"/>
      <c r="FJ238" s="204"/>
      <c r="FK238" s="204"/>
      <c r="FL238" s="204"/>
      <c r="FM238" s="204"/>
      <c r="FN238" s="204"/>
      <c r="FO238" s="204"/>
      <c r="FP238" s="204"/>
      <c r="FQ238" s="204"/>
      <c r="FR238" s="204"/>
      <c r="FS238" s="204"/>
      <c r="FT238" s="204"/>
      <c r="FU238" s="204"/>
      <c r="FV238" s="204"/>
      <c r="FW238" s="204"/>
      <c r="FX238" s="204"/>
      <c r="FY238" s="204"/>
      <c r="FZ238" s="204"/>
      <c r="GA238" s="204"/>
      <c r="GB238" s="204"/>
      <c r="GC238" s="204"/>
      <c r="GD238" s="204"/>
      <c r="GE238" s="204"/>
      <c r="GF238" s="204"/>
      <c r="GG238" s="204"/>
      <c r="GH238" s="204"/>
      <c r="GI238" s="204"/>
      <c r="GJ238" s="204"/>
      <c r="GK238" s="204"/>
      <c r="GL238" s="204"/>
      <c r="GM238" s="204"/>
      <c r="GN238" s="204"/>
      <c r="GO238" s="204"/>
      <c r="GP238" s="204"/>
      <c r="GQ238" s="204"/>
      <c r="GR238" s="204"/>
      <c r="GS238" s="204"/>
      <c r="GT238" s="204"/>
      <c r="GU238" s="204"/>
      <c r="GV238" s="204"/>
      <c r="GW238" s="204"/>
      <c r="GX238" s="204"/>
      <c r="GY238" s="204"/>
      <c r="GZ238" s="204"/>
      <c r="HA238" s="204"/>
      <c r="HB238" s="204"/>
      <c r="HC238" s="204"/>
      <c r="HD238" s="204"/>
      <c r="HE238" s="204"/>
      <c r="HF238" s="204"/>
      <c r="HG238" s="204"/>
      <c r="HH238" s="204"/>
      <c r="HI238" s="204"/>
      <c r="HJ238" s="204"/>
      <c r="HK238" s="204"/>
      <c r="HL238" s="204"/>
      <c r="HM238" s="204"/>
      <c r="HN238" s="204"/>
      <c r="HO238" s="204"/>
      <c r="HP238" s="204"/>
      <c r="HQ238" s="204"/>
      <c r="HR238" s="204"/>
      <c r="HS238" s="204"/>
      <c r="HT238" s="204"/>
      <c r="HU238" s="204"/>
      <c r="HV238" s="204"/>
      <c r="HW238" s="204"/>
      <c r="HX238" s="204"/>
      <c r="HY238" s="204"/>
      <c r="HZ238" s="204"/>
      <c r="IA238" s="204"/>
      <c r="IB238" s="204"/>
      <c r="IC238" s="204"/>
      <c r="ID238" s="204"/>
      <c r="IE238" s="204"/>
      <c r="IF238" s="204"/>
      <c r="IG238" s="204"/>
      <c r="IH238" s="204"/>
      <c r="II238" s="204"/>
      <c r="IJ238" s="204"/>
      <c r="IK238" s="204"/>
      <c r="IL238" s="204"/>
      <c r="IM238" s="204"/>
      <c r="IN238" s="204"/>
      <c r="IO238" s="204"/>
      <c r="IP238" s="204"/>
      <c r="IQ238" s="204"/>
      <c r="IR238" s="204"/>
      <c r="IS238" s="204"/>
      <c r="IT238" s="204"/>
      <c r="IU238" s="204"/>
      <c r="IV238" s="204"/>
    </row>
    <row r="239" spans="1:34" ht="3.75" customHeight="1">
      <c r="A239" s="223"/>
      <c r="B239" s="219"/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4"/>
      <c r="U239" s="204"/>
      <c r="V239" s="204"/>
      <c r="W239" s="204"/>
      <c r="X239" s="616"/>
      <c r="AH239" s="531"/>
    </row>
    <row r="240" spans="1:34" ht="12.75">
      <c r="A240" s="276" t="s">
        <v>269</v>
      </c>
      <c r="B240" s="315" t="s">
        <v>220</v>
      </c>
      <c r="X240" s="616"/>
      <c r="AH240" s="531"/>
    </row>
    <row r="241" spans="24:34" ht="3" customHeight="1">
      <c r="X241" s="616"/>
      <c r="AH241" s="531"/>
    </row>
    <row r="242" spans="1:34" ht="14.25" customHeight="1">
      <c r="A242" s="895" t="s">
        <v>204</v>
      </c>
      <c r="B242" s="1075" t="s">
        <v>221</v>
      </c>
      <c r="C242" s="1076"/>
      <c r="D242" s="1076"/>
      <c r="E242" s="1076"/>
      <c r="F242" s="1076"/>
      <c r="G242" s="1076"/>
      <c r="H242" s="1076"/>
      <c r="I242" s="1076"/>
      <c r="J242" s="1077"/>
      <c r="K242" s="799" t="s">
        <v>206</v>
      </c>
      <c r="L242" s="800"/>
      <c r="M242" s="800"/>
      <c r="N242" s="800"/>
      <c r="O242" s="800"/>
      <c r="P242" s="800"/>
      <c r="Q242" s="800"/>
      <c r="R242" s="800"/>
      <c r="S242" s="800"/>
      <c r="T242" s="800"/>
      <c r="U242" s="800"/>
      <c r="V242" s="800"/>
      <c r="W242" s="801"/>
      <c r="X242" s="616"/>
      <c r="AH242" s="531"/>
    </row>
    <row r="243" spans="1:34" ht="14.25" customHeight="1">
      <c r="A243" s="895"/>
      <c r="B243" s="1078"/>
      <c r="C243" s="1079"/>
      <c r="D243" s="1079"/>
      <c r="E243" s="1079"/>
      <c r="F243" s="1079"/>
      <c r="G243" s="1079"/>
      <c r="H243" s="1079"/>
      <c r="I243" s="1079"/>
      <c r="J243" s="1080"/>
      <c r="K243" s="731" t="s">
        <v>207</v>
      </c>
      <c r="L243" s="732"/>
      <c r="M243" s="732"/>
      <c r="N243" s="732"/>
      <c r="O243" s="732"/>
      <c r="P243" s="732"/>
      <c r="Q243" s="732"/>
      <c r="R243" s="732"/>
      <c r="S243" s="732"/>
      <c r="T243" s="732"/>
      <c r="U243" s="732"/>
      <c r="V243" s="732"/>
      <c r="W243" s="733"/>
      <c r="X243" s="616"/>
      <c r="AH243" s="531"/>
    </row>
    <row r="244" spans="1:34" ht="14.25" customHeight="1">
      <c r="A244" s="895"/>
      <c r="B244" s="1078"/>
      <c r="C244" s="1079"/>
      <c r="D244" s="1079"/>
      <c r="E244" s="1079"/>
      <c r="F244" s="1079"/>
      <c r="G244" s="1079"/>
      <c r="H244" s="1079"/>
      <c r="I244" s="1079"/>
      <c r="J244" s="1080"/>
      <c r="K244" s="867">
        <v>0</v>
      </c>
      <c r="L244" s="867"/>
      <c r="M244" s="867"/>
      <c r="N244" s="867"/>
      <c r="O244" s="867"/>
      <c r="P244" s="734">
        <v>10</v>
      </c>
      <c r="Q244" s="735"/>
      <c r="R244" s="735"/>
      <c r="S244" s="736"/>
      <c r="T244" s="734">
        <v>20</v>
      </c>
      <c r="U244" s="735"/>
      <c r="V244" s="735"/>
      <c r="W244" s="736"/>
      <c r="X244" s="616"/>
      <c r="AH244" s="531"/>
    </row>
    <row r="245" spans="1:34" ht="14.25" customHeight="1">
      <c r="A245" s="895"/>
      <c r="B245" s="1078"/>
      <c r="C245" s="1079"/>
      <c r="D245" s="1079"/>
      <c r="E245" s="1079"/>
      <c r="F245" s="1079"/>
      <c r="G245" s="1079"/>
      <c r="H245" s="1079"/>
      <c r="I245" s="1079"/>
      <c r="J245" s="1080"/>
      <c r="K245" s="865" t="s">
        <v>289</v>
      </c>
      <c r="L245" s="865"/>
      <c r="M245" s="865"/>
      <c r="N245" s="865"/>
      <c r="O245" s="865"/>
      <c r="P245" s="743" t="s">
        <v>290</v>
      </c>
      <c r="Q245" s="756"/>
      <c r="R245" s="756"/>
      <c r="S245" s="757"/>
      <c r="T245" s="743" t="s">
        <v>222</v>
      </c>
      <c r="U245" s="756"/>
      <c r="V245" s="756"/>
      <c r="W245" s="757"/>
      <c r="X245" s="616"/>
      <c r="AH245" s="531"/>
    </row>
    <row r="246" spans="1:34" ht="14.25" customHeight="1">
      <c r="A246" s="895"/>
      <c r="B246" s="1078"/>
      <c r="C246" s="1079"/>
      <c r="D246" s="1079"/>
      <c r="E246" s="1079"/>
      <c r="F246" s="1079"/>
      <c r="G246" s="1079"/>
      <c r="H246" s="1079"/>
      <c r="I246" s="1079"/>
      <c r="J246" s="1080"/>
      <c r="K246" s="865"/>
      <c r="L246" s="865"/>
      <c r="M246" s="865"/>
      <c r="N246" s="865"/>
      <c r="O246" s="865"/>
      <c r="P246" s="758"/>
      <c r="Q246" s="759"/>
      <c r="R246" s="759"/>
      <c r="S246" s="760"/>
      <c r="T246" s="758"/>
      <c r="U246" s="759"/>
      <c r="V246" s="759"/>
      <c r="W246" s="760"/>
      <c r="X246" s="616"/>
      <c r="AH246" s="531"/>
    </row>
    <row r="247" spans="1:34" ht="14.25" customHeight="1">
      <c r="A247" s="895"/>
      <c r="B247" s="1078"/>
      <c r="C247" s="1079"/>
      <c r="D247" s="1079"/>
      <c r="E247" s="1079"/>
      <c r="F247" s="1079"/>
      <c r="G247" s="1079"/>
      <c r="H247" s="1079"/>
      <c r="I247" s="1079"/>
      <c r="J247" s="1080"/>
      <c r="K247" s="865"/>
      <c r="L247" s="865"/>
      <c r="M247" s="865"/>
      <c r="N247" s="865"/>
      <c r="O247" s="865"/>
      <c r="P247" s="758"/>
      <c r="Q247" s="759"/>
      <c r="R247" s="759"/>
      <c r="S247" s="760"/>
      <c r="T247" s="758"/>
      <c r="U247" s="759"/>
      <c r="V247" s="759"/>
      <c r="W247" s="760"/>
      <c r="X247" s="616"/>
      <c r="AE247" s="316" t="s">
        <v>416</v>
      </c>
      <c r="AH247" s="531"/>
    </row>
    <row r="248" spans="1:34" ht="9.75" customHeight="1">
      <c r="A248" s="895"/>
      <c r="B248" s="1081"/>
      <c r="C248" s="1082"/>
      <c r="D248" s="1082"/>
      <c r="E248" s="1082"/>
      <c r="F248" s="1082"/>
      <c r="G248" s="1082"/>
      <c r="H248" s="1082"/>
      <c r="I248" s="1082"/>
      <c r="J248" s="1083"/>
      <c r="K248" s="865"/>
      <c r="L248" s="865"/>
      <c r="M248" s="865"/>
      <c r="N248" s="865"/>
      <c r="O248" s="865"/>
      <c r="P248" s="814"/>
      <c r="Q248" s="815"/>
      <c r="R248" s="815"/>
      <c r="S248" s="816"/>
      <c r="T248" s="758"/>
      <c r="U248" s="759"/>
      <c r="V248" s="759"/>
      <c r="W248" s="760"/>
      <c r="X248" s="616"/>
      <c r="Z248" s="264" t="s">
        <v>209</v>
      </c>
      <c r="AA248" s="265" t="s">
        <v>281</v>
      </c>
      <c r="AE248" s="568" t="s">
        <v>4</v>
      </c>
      <c r="AF248" s="569" t="s">
        <v>3</v>
      </c>
      <c r="AH248" s="531"/>
    </row>
    <row r="249" spans="1:34" ht="12.75">
      <c r="A249" s="777" t="s">
        <v>188</v>
      </c>
      <c r="B249" s="725" t="s">
        <v>597</v>
      </c>
      <c r="C249" s="726"/>
      <c r="D249" s="726"/>
      <c r="E249" s="726"/>
      <c r="F249" s="726"/>
      <c r="G249" s="726"/>
      <c r="H249" s="726"/>
      <c r="I249" s="726"/>
      <c r="J249" s="727"/>
      <c r="K249" s="813">
        <f>IF(SUM(P249:W252)=0,IF(FIO="","",0),"")</f>
      </c>
      <c r="L249" s="850"/>
      <c r="M249" s="850"/>
      <c r="N249" s="850"/>
      <c r="O249" s="851"/>
      <c r="P249" s="856"/>
      <c r="Q249" s="857"/>
      <c r="R249" s="857"/>
      <c r="S249" s="858"/>
      <c r="T249" s="856"/>
      <c r="U249" s="857"/>
      <c r="V249" s="857"/>
      <c r="W249" s="858"/>
      <c r="X249" s="616"/>
      <c r="Y249" s="967">
        <f>MAX(K249:W252)</f>
        <v>0</v>
      </c>
      <c r="Z249" s="266">
        <v>60</v>
      </c>
      <c r="AA249" s="283">
        <f>IF(z_kateg="высшая",AE249,AF249)</f>
        <v>50</v>
      </c>
      <c r="AE249" s="570">
        <v>60</v>
      </c>
      <c r="AF249" s="571">
        <v>50</v>
      </c>
      <c r="AH249" s="531"/>
    </row>
    <row r="250" spans="1:34" ht="12.75">
      <c r="A250" s="778"/>
      <c r="B250" s="728"/>
      <c r="C250" s="729"/>
      <c r="D250" s="729"/>
      <c r="E250" s="729"/>
      <c r="F250" s="729"/>
      <c r="G250" s="729"/>
      <c r="H250" s="729"/>
      <c r="I250" s="729"/>
      <c r="J250" s="730"/>
      <c r="K250" s="966"/>
      <c r="L250" s="874"/>
      <c r="M250" s="874"/>
      <c r="N250" s="874"/>
      <c r="O250" s="875"/>
      <c r="P250" s="859"/>
      <c r="Q250" s="860"/>
      <c r="R250" s="860"/>
      <c r="S250" s="861"/>
      <c r="T250" s="859"/>
      <c r="U250" s="860"/>
      <c r="V250" s="860"/>
      <c r="W250" s="861"/>
      <c r="X250" s="616"/>
      <c r="Y250" s="967"/>
      <c r="AH250" s="531"/>
    </row>
    <row r="251" spans="1:34" ht="12.75">
      <c r="A251" s="778"/>
      <c r="B251" s="728"/>
      <c r="C251" s="729"/>
      <c r="D251" s="729"/>
      <c r="E251" s="729"/>
      <c r="F251" s="729"/>
      <c r="G251" s="729"/>
      <c r="H251" s="729"/>
      <c r="I251" s="729"/>
      <c r="J251" s="730"/>
      <c r="K251" s="966"/>
      <c r="L251" s="874"/>
      <c r="M251" s="874"/>
      <c r="N251" s="874"/>
      <c r="O251" s="875"/>
      <c r="P251" s="859"/>
      <c r="Q251" s="860"/>
      <c r="R251" s="860"/>
      <c r="S251" s="861"/>
      <c r="T251" s="859"/>
      <c r="U251" s="860"/>
      <c r="V251" s="860"/>
      <c r="W251" s="861"/>
      <c r="X251" s="616"/>
      <c r="Y251" s="967"/>
      <c r="AH251" s="531"/>
    </row>
    <row r="252" spans="1:34" ht="6.75" customHeight="1">
      <c r="A252" s="779"/>
      <c r="B252" s="767"/>
      <c r="C252" s="768"/>
      <c r="D252" s="768"/>
      <c r="E252" s="768"/>
      <c r="F252" s="768"/>
      <c r="G252" s="768"/>
      <c r="H252" s="768"/>
      <c r="I252" s="768"/>
      <c r="J252" s="769"/>
      <c r="K252" s="852"/>
      <c r="L252" s="853"/>
      <c r="M252" s="853"/>
      <c r="N252" s="853"/>
      <c r="O252" s="854"/>
      <c r="P252" s="862"/>
      <c r="Q252" s="863"/>
      <c r="R252" s="863"/>
      <c r="S252" s="864"/>
      <c r="T252" s="862"/>
      <c r="U252" s="863"/>
      <c r="V252" s="863"/>
      <c r="W252" s="864"/>
      <c r="X252" s="616"/>
      <c r="Y252" s="967"/>
      <c r="AH252" s="531"/>
    </row>
    <row r="253" spans="1:34" ht="14.25" customHeight="1">
      <c r="A253" s="777" t="s">
        <v>190</v>
      </c>
      <c r="B253" s="725" t="s">
        <v>568</v>
      </c>
      <c r="C253" s="726"/>
      <c r="D253" s="726"/>
      <c r="E253" s="726"/>
      <c r="F253" s="726"/>
      <c r="G253" s="726"/>
      <c r="H253" s="726"/>
      <c r="I253" s="726"/>
      <c r="J253" s="727"/>
      <c r="K253" s="813">
        <f>IF(SUM(P253:W256)=0,IF(FIO="","",0),"")</f>
      </c>
      <c r="L253" s="850"/>
      <c r="M253" s="850"/>
      <c r="N253" s="850"/>
      <c r="O253" s="851"/>
      <c r="P253" s="856"/>
      <c r="Q253" s="857"/>
      <c r="R253" s="857"/>
      <c r="S253" s="858"/>
      <c r="T253" s="856"/>
      <c r="U253" s="857"/>
      <c r="V253" s="857"/>
      <c r="W253" s="858"/>
      <c r="X253" s="616"/>
      <c r="Y253" s="967">
        <f>MAX(K253:W256)</f>
        <v>0</v>
      </c>
      <c r="AB253" s="5" t="s">
        <v>288</v>
      </c>
      <c r="AH253" s="531"/>
    </row>
    <row r="254" spans="1:34" ht="12.75">
      <c r="A254" s="778"/>
      <c r="B254" s="728"/>
      <c r="C254" s="729"/>
      <c r="D254" s="729"/>
      <c r="E254" s="729"/>
      <c r="F254" s="729"/>
      <c r="G254" s="729"/>
      <c r="H254" s="729"/>
      <c r="I254" s="729"/>
      <c r="J254" s="730"/>
      <c r="K254" s="966"/>
      <c r="L254" s="874"/>
      <c r="M254" s="874"/>
      <c r="N254" s="874"/>
      <c r="O254" s="875"/>
      <c r="P254" s="859"/>
      <c r="Q254" s="860"/>
      <c r="R254" s="860"/>
      <c r="S254" s="861"/>
      <c r="T254" s="859"/>
      <c r="U254" s="860"/>
      <c r="V254" s="860"/>
      <c r="W254" s="861"/>
      <c r="X254" s="616"/>
      <c r="Y254" s="967"/>
      <c r="AH254" s="531"/>
    </row>
    <row r="255" spans="1:34" ht="12.75">
      <c r="A255" s="778"/>
      <c r="B255" s="728"/>
      <c r="C255" s="729"/>
      <c r="D255" s="729"/>
      <c r="E255" s="729"/>
      <c r="F255" s="729"/>
      <c r="G255" s="729"/>
      <c r="H255" s="729"/>
      <c r="I255" s="729"/>
      <c r="J255" s="730"/>
      <c r="K255" s="966"/>
      <c r="L255" s="874"/>
      <c r="M255" s="874"/>
      <c r="N255" s="874"/>
      <c r="O255" s="875"/>
      <c r="P255" s="859"/>
      <c r="Q255" s="860"/>
      <c r="R255" s="860"/>
      <c r="S255" s="861"/>
      <c r="T255" s="859"/>
      <c r="U255" s="860"/>
      <c r="V255" s="860"/>
      <c r="W255" s="861"/>
      <c r="X255" s="616"/>
      <c r="Y255" s="967"/>
      <c r="AH255" s="531"/>
    </row>
    <row r="256" spans="1:34" ht="2.25" customHeight="1">
      <c r="A256" s="779"/>
      <c r="B256" s="767"/>
      <c r="C256" s="768"/>
      <c r="D256" s="768"/>
      <c r="E256" s="768"/>
      <c r="F256" s="768"/>
      <c r="G256" s="768"/>
      <c r="H256" s="768"/>
      <c r="I256" s="768"/>
      <c r="J256" s="769"/>
      <c r="K256" s="852"/>
      <c r="L256" s="853"/>
      <c r="M256" s="853"/>
      <c r="N256" s="853"/>
      <c r="O256" s="854"/>
      <c r="P256" s="862"/>
      <c r="Q256" s="863"/>
      <c r="R256" s="863"/>
      <c r="S256" s="864"/>
      <c r="T256" s="862"/>
      <c r="U256" s="863"/>
      <c r="V256" s="863"/>
      <c r="W256" s="864"/>
      <c r="X256" s="616"/>
      <c r="Y256" s="967"/>
      <c r="AH256" s="531"/>
    </row>
    <row r="257" spans="1:34" ht="12.75">
      <c r="A257" s="777" t="s">
        <v>191</v>
      </c>
      <c r="B257" s="725" t="s">
        <v>569</v>
      </c>
      <c r="C257" s="726"/>
      <c r="D257" s="726"/>
      <c r="E257" s="726"/>
      <c r="F257" s="726"/>
      <c r="G257" s="726"/>
      <c r="H257" s="726"/>
      <c r="I257" s="726"/>
      <c r="J257" s="727"/>
      <c r="K257" s="813">
        <f>IF(SUM(P257:W260)=0,IF(FIO="","",0),"")</f>
      </c>
      <c r="L257" s="850"/>
      <c r="M257" s="850"/>
      <c r="N257" s="850"/>
      <c r="O257" s="851"/>
      <c r="P257" s="856"/>
      <c r="Q257" s="857"/>
      <c r="R257" s="857"/>
      <c r="S257" s="858"/>
      <c r="T257" s="856"/>
      <c r="U257" s="857"/>
      <c r="V257" s="857"/>
      <c r="W257" s="858"/>
      <c r="X257" s="616"/>
      <c r="Y257" s="967">
        <f>MAX(K257:W260)</f>
        <v>0</v>
      </c>
      <c r="AH257" s="531"/>
    </row>
    <row r="258" spans="1:34" ht="12.75">
      <c r="A258" s="778"/>
      <c r="B258" s="728"/>
      <c r="C258" s="729"/>
      <c r="D258" s="729"/>
      <c r="E258" s="729"/>
      <c r="F258" s="729"/>
      <c r="G258" s="729"/>
      <c r="H258" s="729"/>
      <c r="I258" s="729"/>
      <c r="J258" s="730"/>
      <c r="K258" s="966"/>
      <c r="L258" s="874"/>
      <c r="M258" s="874"/>
      <c r="N258" s="874"/>
      <c r="O258" s="875"/>
      <c r="P258" s="859"/>
      <c r="Q258" s="860"/>
      <c r="R258" s="860"/>
      <c r="S258" s="861"/>
      <c r="T258" s="859"/>
      <c r="U258" s="860"/>
      <c r="V258" s="860"/>
      <c r="W258" s="861"/>
      <c r="X258" s="616"/>
      <c r="Y258" s="967"/>
      <c r="AH258" s="531"/>
    </row>
    <row r="259" spans="1:34" ht="12.75">
      <c r="A259" s="778"/>
      <c r="B259" s="728"/>
      <c r="C259" s="729"/>
      <c r="D259" s="729"/>
      <c r="E259" s="729"/>
      <c r="F259" s="729"/>
      <c r="G259" s="729"/>
      <c r="H259" s="729"/>
      <c r="I259" s="729"/>
      <c r="J259" s="730"/>
      <c r="K259" s="966"/>
      <c r="L259" s="874"/>
      <c r="M259" s="874"/>
      <c r="N259" s="874"/>
      <c r="O259" s="875"/>
      <c r="P259" s="859"/>
      <c r="Q259" s="860"/>
      <c r="R259" s="860"/>
      <c r="S259" s="861"/>
      <c r="T259" s="859"/>
      <c r="U259" s="860"/>
      <c r="V259" s="860"/>
      <c r="W259" s="861"/>
      <c r="X259" s="616"/>
      <c r="Y259" s="967"/>
      <c r="AH259" s="531"/>
    </row>
    <row r="260" spans="1:34" ht="1.5" customHeight="1">
      <c r="A260" s="779"/>
      <c r="B260" s="767"/>
      <c r="C260" s="768"/>
      <c r="D260" s="768"/>
      <c r="E260" s="768"/>
      <c r="F260" s="768"/>
      <c r="G260" s="768"/>
      <c r="H260" s="768"/>
      <c r="I260" s="768"/>
      <c r="J260" s="769"/>
      <c r="K260" s="852"/>
      <c r="L260" s="853"/>
      <c r="M260" s="853"/>
      <c r="N260" s="853"/>
      <c r="O260" s="854"/>
      <c r="P260" s="862"/>
      <c r="Q260" s="863"/>
      <c r="R260" s="863"/>
      <c r="S260" s="864"/>
      <c r="T260" s="862"/>
      <c r="U260" s="863"/>
      <c r="V260" s="863"/>
      <c r="W260" s="864"/>
      <c r="X260" s="616"/>
      <c r="Y260" s="967"/>
      <c r="AH260" s="531"/>
    </row>
    <row r="261" spans="1:34" ht="6.75" customHeight="1">
      <c r="A261" s="289"/>
      <c r="B261" s="239"/>
      <c r="C261" s="239"/>
      <c r="D261" s="239"/>
      <c r="E261" s="239"/>
      <c r="F261" s="14"/>
      <c r="G261" s="14"/>
      <c r="H261" s="14"/>
      <c r="I261" s="14"/>
      <c r="J261" s="14"/>
      <c r="K261" s="14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616"/>
      <c r="AH261" s="531"/>
    </row>
    <row r="262" spans="1:34" ht="12.75">
      <c r="A262" s="276" t="s">
        <v>223</v>
      </c>
      <c r="B262" s="315" t="s">
        <v>224</v>
      </c>
      <c r="X262" s="616"/>
      <c r="AH262" s="531"/>
    </row>
    <row r="263" spans="1:34" ht="12.75">
      <c r="A263" s="305" t="s">
        <v>225</v>
      </c>
      <c r="X263" s="616"/>
      <c r="AH263" s="531"/>
    </row>
    <row r="264" spans="1:34" ht="14.25" customHeight="1">
      <c r="A264" s="895" t="s">
        <v>204</v>
      </c>
      <c r="B264" s="876" t="s">
        <v>477</v>
      </c>
      <c r="C264" s="877"/>
      <c r="D264" s="877"/>
      <c r="E264" s="877"/>
      <c r="F264" s="877"/>
      <c r="G264" s="877"/>
      <c r="H264" s="877"/>
      <c r="I264" s="877"/>
      <c r="J264" s="878"/>
      <c r="K264" s="799" t="s">
        <v>216</v>
      </c>
      <c r="L264" s="800"/>
      <c r="M264" s="800"/>
      <c r="N264" s="800"/>
      <c r="O264" s="800"/>
      <c r="P264" s="800"/>
      <c r="Q264" s="800"/>
      <c r="R264" s="800"/>
      <c r="S264" s="800"/>
      <c r="T264" s="800"/>
      <c r="U264" s="800"/>
      <c r="V264" s="800"/>
      <c r="W264" s="801"/>
      <c r="X264" s="616"/>
      <c r="AH264" s="531"/>
    </row>
    <row r="265" spans="1:34" ht="14.25" customHeight="1">
      <c r="A265" s="895"/>
      <c r="B265" s="879"/>
      <c r="C265" s="880"/>
      <c r="D265" s="880"/>
      <c r="E265" s="880"/>
      <c r="F265" s="880"/>
      <c r="G265" s="880"/>
      <c r="H265" s="880"/>
      <c r="I265" s="880"/>
      <c r="J265" s="881"/>
      <c r="K265" s="731" t="s">
        <v>207</v>
      </c>
      <c r="L265" s="732"/>
      <c r="M265" s="732"/>
      <c r="N265" s="732"/>
      <c r="O265" s="732"/>
      <c r="P265" s="732"/>
      <c r="Q265" s="732"/>
      <c r="R265" s="732"/>
      <c r="S265" s="732"/>
      <c r="T265" s="732"/>
      <c r="U265" s="732"/>
      <c r="V265" s="732"/>
      <c r="W265" s="733"/>
      <c r="X265" s="616"/>
      <c r="AH265" s="531"/>
    </row>
    <row r="266" spans="1:34" ht="14.25" customHeight="1">
      <c r="A266" s="895"/>
      <c r="B266" s="879"/>
      <c r="C266" s="880"/>
      <c r="D266" s="880"/>
      <c r="E266" s="880"/>
      <c r="F266" s="880"/>
      <c r="G266" s="880"/>
      <c r="H266" s="880"/>
      <c r="I266" s="880"/>
      <c r="J266" s="881"/>
      <c r="K266" s="849">
        <v>0</v>
      </c>
      <c r="L266" s="849"/>
      <c r="M266" s="849"/>
      <c r="N266" s="849"/>
      <c r="O266" s="849"/>
      <c r="P266" s="734">
        <v>10</v>
      </c>
      <c r="Q266" s="735"/>
      <c r="R266" s="735"/>
      <c r="S266" s="736"/>
      <c r="T266" s="734">
        <v>20</v>
      </c>
      <c r="U266" s="735"/>
      <c r="V266" s="735"/>
      <c r="W266" s="736"/>
      <c r="X266" s="616"/>
      <c r="AH266" s="531"/>
    </row>
    <row r="267" spans="1:34" ht="14.25" customHeight="1">
      <c r="A267" s="895"/>
      <c r="B267" s="879"/>
      <c r="C267" s="880"/>
      <c r="D267" s="880"/>
      <c r="E267" s="880"/>
      <c r="F267" s="880"/>
      <c r="G267" s="880"/>
      <c r="H267" s="880"/>
      <c r="I267" s="880"/>
      <c r="J267" s="881"/>
      <c r="K267" s="865" t="s">
        <v>476</v>
      </c>
      <c r="L267" s="865"/>
      <c r="M267" s="865"/>
      <c r="N267" s="865"/>
      <c r="O267" s="865"/>
      <c r="P267" s="743" t="s">
        <v>290</v>
      </c>
      <c r="Q267" s="756"/>
      <c r="R267" s="756"/>
      <c r="S267" s="757"/>
      <c r="T267" s="743" t="s">
        <v>222</v>
      </c>
      <c r="U267" s="756"/>
      <c r="V267" s="756"/>
      <c r="W267" s="757"/>
      <c r="X267" s="616"/>
      <c r="AH267" s="531"/>
    </row>
    <row r="268" spans="1:34" ht="14.25" customHeight="1">
      <c r="A268" s="895"/>
      <c r="B268" s="907" t="s">
        <v>478</v>
      </c>
      <c r="C268" s="908"/>
      <c r="D268" s="908"/>
      <c r="E268" s="908"/>
      <c r="F268" s="908"/>
      <c r="G268" s="908"/>
      <c r="H268" s="908"/>
      <c r="I268" s="908"/>
      <c r="J268" s="909"/>
      <c r="K268" s="865"/>
      <c r="L268" s="865"/>
      <c r="M268" s="865"/>
      <c r="N268" s="865"/>
      <c r="O268" s="865"/>
      <c r="P268" s="758"/>
      <c r="Q268" s="759"/>
      <c r="R268" s="759"/>
      <c r="S268" s="760"/>
      <c r="T268" s="758"/>
      <c r="U268" s="759"/>
      <c r="V268" s="759"/>
      <c r="W268" s="760"/>
      <c r="X268" s="616"/>
      <c r="AH268" s="531"/>
    </row>
    <row r="269" spans="1:34" ht="14.25" customHeight="1">
      <c r="A269" s="895"/>
      <c r="B269" s="907"/>
      <c r="C269" s="908"/>
      <c r="D269" s="908"/>
      <c r="E269" s="908"/>
      <c r="F269" s="908"/>
      <c r="G269" s="908"/>
      <c r="H269" s="908"/>
      <c r="I269" s="908"/>
      <c r="J269" s="909"/>
      <c r="K269" s="865"/>
      <c r="L269" s="865"/>
      <c r="M269" s="865"/>
      <c r="N269" s="865"/>
      <c r="O269" s="865"/>
      <c r="P269" s="758"/>
      <c r="Q269" s="759"/>
      <c r="R269" s="759"/>
      <c r="S269" s="760"/>
      <c r="T269" s="758"/>
      <c r="U269" s="759"/>
      <c r="V269" s="759"/>
      <c r="W269" s="760"/>
      <c r="X269" s="616"/>
      <c r="AH269" s="531"/>
    </row>
    <row r="270" spans="1:34" ht="2.25" customHeight="1">
      <c r="A270" s="895"/>
      <c r="B270" s="910"/>
      <c r="C270" s="911"/>
      <c r="D270" s="911"/>
      <c r="E270" s="911"/>
      <c r="F270" s="911"/>
      <c r="G270" s="911"/>
      <c r="H270" s="911"/>
      <c r="I270" s="911"/>
      <c r="J270" s="912"/>
      <c r="K270" s="913"/>
      <c r="L270" s="913"/>
      <c r="M270" s="913"/>
      <c r="N270" s="913"/>
      <c r="O270" s="913"/>
      <c r="P270" s="814"/>
      <c r="Q270" s="815"/>
      <c r="R270" s="815"/>
      <c r="S270" s="816"/>
      <c r="T270" s="758"/>
      <c r="U270" s="759"/>
      <c r="V270" s="759"/>
      <c r="W270" s="760"/>
      <c r="X270" s="616"/>
      <c r="AH270" s="531"/>
    </row>
    <row r="271" spans="1:34" ht="14.25" customHeight="1">
      <c r="A271" s="898" t="s">
        <v>188</v>
      </c>
      <c r="B271" s="1052"/>
      <c r="C271" s="1053"/>
      <c r="D271" s="1053"/>
      <c r="E271" s="1053"/>
      <c r="F271" s="1053"/>
      <c r="G271" s="1053"/>
      <c r="H271" s="1053"/>
      <c r="I271" s="1053"/>
      <c r="J271" s="1054"/>
      <c r="K271" s="850">
        <f>IF(AND(FIO&lt;&gt;"",P271="",T271=""),0,IF(z_kateg="первая","Не заполнять  на первую кв.кат.!",""))</f>
      </c>
      <c r="L271" s="850"/>
      <c r="M271" s="850"/>
      <c r="N271" s="850"/>
      <c r="O271" s="851"/>
      <c r="P271" s="770"/>
      <c r="Q271" s="770"/>
      <c r="R271" s="770"/>
      <c r="S271" s="770"/>
      <c r="T271" s="856"/>
      <c r="U271" s="857"/>
      <c r="V271" s="857"/>
      <c r="W271" s="858"/>
      <c r="X271" s="616"/>
      <c r="Y271" s="967">
        <f>IF(z_kateg="первая",0,MAX(K271:W274))</f>
        <v>0</v>
      </c>
      <c r="Z271" s="264" t="s">
        <v>209</v>
      </c>
      <c r="AA271" s="265" t="s">
        <v>281</v>
      </c>
      <c r="AE271" s="568" t="s">
        <v>4</v>
      </c>
      <c r="AF271" s="569" t="s">
        <v>3</v>
      </c>
      <c r="AH271" s="531"/>
    </row>
    <row r="272" spans="1:34" ht="14.25" customHeight="1">
      <c r="A272" s="899"/>
      <c r="B272" s="1055"/>
      <c r="C272" s="1056"/>
      <c r="D272" s="1056"/>
      <c r="E272" s="1056"/>
      <c r="F272" s="1056"/>
      <c r="G272" s="1056"/>
      <c r="H272" s="1056"/>
      <c r="I272" s="1056"/>
      <c r="J272" s="1057"/>
      <c r="K272" s="874"/>
      <c r="L272" s="874"/>
      <c r="M272" s="874"/>
      <c r="N272" s="874"/>
      <c r="O272" s="875"/>
      <c r="P272" s="770"/>
      <c r="Q272" s="770"/>
      <c r="R272" s="770"/>
      <c r="S272" s="770"/>
      <c r="T272" s="859"/>
      <c r="U272" s="860"/>
      <c r="V272" s="860"/>
      <c r="W272" s="861"/>
      <c r="X272" s="616"/>
      <c r="Y272" s="967"/>
      <c r="Z272" s="266">
        <v>40</v>
      </c>
      <c r="AA272" s="283">
        <f>IF(z_kateg="высшая",AE272,AF272)</f>
        <v>0</v>
      </c>
      <c r="AE272" s="570">
        <v>40</v>
      </c>
      <c r="AF272" s="571">
        <v>0</v>
      </c>
      <c r="AH272" s="531"/>
    </row>
    <row r="273" spans="1:34" ht="14.25" customHeight="1">
      <c r="A273" s="899"/>
      <c r="B273" s="1055"/>
      <c r="C273" s="1056"/>
      <c r="D273" s="1056"/>
      <c r="E273" s="1056"/>
      <c r="F273" s="1056"/>
      <c r="G273" s="1056"/>
      <c r="H273" s="1056"/>
      <c r="I273" s="1056"/>
      <c r="J273" s="1057"/>
      <c r="K273" s="874"/>
      <c r="L273" s="874"/>
      <c r="M273" s="874"/>
      <c r="N273" s="874"/>
      <c r="O273" s="875"/>
      <c r="P273" s="770"/>
      <c r="Q273" s="770"/>
      <c r="R273" s="770"/>
      <c r="S273" s="770"/>
      <c r="T273" s="859"/>
      <c r="U273" s="860"/>
      <c r="V273" s="860"/>
      <c r="W273" s="861"/>
      <c r="X273" s="616"/>
      <c r="Y273" s="967"/>
      <c r="AH273" s="531"/>
    </row>
    <row r="274" spans="1:34" ht="10.5" customHeight="1">
      <c r="A274" s="900"/>
      <c r="B274" s="1058"/>
      <c r="C274" s="1059"/>
      <c r="D274" s="1059"/>
      <c r="E274" s="1059"/>
      <c r="F274" s="1059"/>
      <c r="G274" s="1059"/>
      <c r="H274" s="1059"/>
      <c r="I274" s="1059"/>
      <c r="J274" s="1060"/>
      <c r="K274" s="853"/>
      <c r="L274" s="853"/>
      <c r="M274" s="853"/>
      <c r="N274" s="853"/>
      <c r="O274" s="854"/>
      <c r="P274" s="770"/>
      <c r="Q274" s="770"/>
      <c r="R274" s="770"/>
      <c r="S274" s="770"/>
      <c r="T274" s="862"/>
      <c r="U274" s="863"/>
      <c r="V274" s="863"/>
      <c r="W274" s="864"/>
      <c r="X274" s="616"/>
      <c r="Y274" s="967"/>
      <c r="AH274" s="531"/>
    </row>
    <row r="275" spans="1:34" ht="14.25" customHeight="1">
      <c r="A275" s="777" t="s">
        <v>190</v>
      </c>
      <c r="B275" s="1052"/>
      <c r="C275" s="1053"/>
      <c r="D275" s="1053"/>
      <c r="E275" s="1053"/>
      <c r="F275" s="1053"/>
      <c r="G275" s="1053"/>
      <c r="H275" s="1053"/>
      <c r="I275" s="1053"/>
      <c r="J275" s="1054"/>
      <c r="K275" s="850">
        <f>IF(AND(FIO&lt;&gt;"",P275="",T275=""),0,IF(z_kateg="первая","Не заполнять  на первую кв.кат.!",""))</f>
      </c>
      <c r="L275" s="850"/>
      <c r="M275" s="850"/>
      <c r="N275" s="850"/>
      <c r="O275" s="851"/>
      <c r="P275" s="770"/>
      <c r="Q275" s="770"/>
      <c r="R275" s="770"/>
      <c r="S275" s="770"/>
      <c r="T275" s="856"/>
      <c r="U275" s="857"/>
      <c r="V275" s="857"/>
      <c r="W275" s="858"/>
      <c r="X275" s="616"/>
      <c r="Y275" s="967">
        <f>IF(z_kateg="первая",0,MAX(K275:W278))</f>
        <v>0</v>
      </c>
      <c r="AH275" s="531"/>
    </row>
    <row r="276" spans="1:34" ht="14.25" customHeight="1">
      <c r="A276" s="778"/>
      <c r="B276" s="1055"/>
      <c r="C276" s="1056"/>
      <c r="D276" s="1056"/>
      <c r="E276" s="1056"/>
      <c r="F276" s="1056"/>
      <c r="G276" s="1056"/>
      <c r="H276" s="1056"/>
      <c r="I276" s="1056"/>
      <c r="J276" s="1057"/>
      <c r="K276" s="874"/>
      <c r="L276" s="874"/>
      <c r="M276" s="874"/>
      <c r="N276" s="874"/>
      <c r="O276" s="875"/>
      <c r="P276" s="770"/>
      <c r="Q276" s="770"/>
      <c r="R276" s="770"/>
      <c r="S276" s="770"/>
      <c r="T276" s="859"/>
      <c r="U276" s="860"/>
      <c r="V276" s="860"/>
      <c r="W276" s="861"/>
      <c r="X276" s="616"/>
      <c r="Y276" s="967"/>
      <c r="AH276" s="531"/>
    </row>
    <row r="277" spans="1:34" ht="14.25" customHeight="1">
      <c r="A277" s="778"/>
      <c r="B277" s="1055"/>
      <c r="C277" s="1056"/>
      <c r="D277" s="1056"/>
      <c r="E277" s="1056"/>
      <c r="F277" s="1056"/>
      <c r="G277" s="1056"/>
      <c r="H277" s="1056"/>
      <c r="I277" s="1056"/>
      <c r="J277" s="1057"/>
      <c r="K277" s="874"/>
      <c r="L277" s="874"/>
      <c r="M277" s="874"/>
      <c r="N277" s="874"/>
      <c r="O277" s="875"/>
      <c r="P277" s="770"/>
      <c r="Q277" s="770"/>
      <c r="R277" s="770"/>
      <c r="S277" s="770"/>
      <c r="T277" s="859"/>
      <c r="U277" s="860"/>
      <c r="V277" s="860"/>
      <c r="W277" s="861"/>
      <c r="X277" s="616"/>
      <c r="Y277" s="967"/>
      <c r="AH277" s="531"/>
    </row>
    <row r="278" spans="1:34" ht="11.25" customHeight="1">
      <c r="A278" s="779"/>
      <c r="B278" s="1058"/>
      <c r="C278" s="1059"/>
      <c r="D278" s="1059"/>
      <c r="E278" s="1059"/>
      <c r="F278" s="1059"/>
      <c r="G278" s="1059"/>
      <c r="H278" s="1059"/>
      <c r="I278" s="1059"/>
      <c r="J278" s="1060"/>
      <c r="K278" s="853"/>
      <c r="L278" s="853"/>
      <c r="M278" s="853"/>
      <c r="N278" s="853"/>
      <c r="O278" s="854"/>
      <c r="P278" s="770"/>
      <c r="Q278" s="770"/>
      <c r="R278" s="770"/>
      <c r="S278" s="770"/>
      <c r="T278" s="862"/>
      <c r="U278" s="863"/>
      <c r="V278" s="863"/>
      <c r="W278" s="864"/>
      <c r="X278" s="616"/>
      <c r="Y278" s="967"/>
      <c r="AH278" s="531"/>
    </row>
    <row r="279" spans="24:34" ht="6.75" customHeight="1">
      <c r="X279" s="616"/>
      <c r="AH279" s="531"/>
    </row>
    <row r="280" spans="1:34" ht="14.25">
      <c r="A280" s="276" t="s">
        <v>226</v>
      </c>
      <c r="B280" s="211" t="s">
        <v>227</v>
      </c>
      <c r="X280" s="616"/>
      <c r="AH280" s="531"/>
    </row>
    <row r="281" spans="1:34" ht="14.25">
      <c r="A281" s="792" t="s">
        <v>204</v>
      </c>
      <c r="B281" s="795" t="s">
        <v>205</v>
      </c>
      <c r="C281" s="796"/>
      <c r="D281" s="796"/>
      <c r="E281" s="796"/>
      <c r="F281" s="796"/>
      <c r="G281" s="796"/>
      <c r="H281" s="831"/>
      <c r="I281" s="799" t="s">
        <v>206</v>
      </c>
      <c r="J281" s="800"/>
      <c r="K281" s="800"/>
      <c r="L281" s="800"/>
      <c r="M281" s="800"/>
      <c r="N281" s="800"/>
      <c r="O281" s="800"/>
      <c r="P281" s="800"/>
      <c r="Q281" s="800"/>
      <c r="R281" s="800"/>
      <c r="S281" s="800"/>
      <c r="T281" s="800"/>
      <c r="U281" s="800"/>
      <c r="V281" s="800"/>
      <c r="W281" s="801"/>
      <c r="X281" s="616"/>
      <c r="AE281" s="5"/>
      <c r="AF281" s="5"/>
      <c r="AH281" s="388"/>
    </row>
    <row r="282" spans="1:34" ht="14.25" customHeight="1">
      <c r="A282" s="793"/>
      <c r="B282" s="797"/>
      <c r="C282" s="798"/>
      <c r="D282" s="798"/>
      <c r="E282" s="798"/>
      <c r="F282" s="798"/>
      <c r="G282" s="798"/>
      <c r="H282" s="832"/>
      <c r="I282" s="731" t="s">
        <v>207</v>
      </c>
      <c r="J282" s="732"/>
      <c r="K282" s="732"/>
      <c r="L282" s="732"/>
      <c r="M282" s="732"/>
      <c r="N282" s="732"/>
      <c r="O282" s="732"/>
      <c r="P282" s="732"/>
      <c r="Q282" s="732"/>
      <c r="R282" s="732"/>
      <c r="S282" s="732"/>
      <c r="T282" s="732"/>
      <c r="U282" s="732"/>
      <c r="V282" s="732"/>
      <c r="W282" s="733"/>
      <c r="X282" s="616"/>
      <c r="AE282" s="5"/>
      <c r="AF282" s="5"/>
      <c r="AH282" s="388"/>
    </row>
    <row r="283" spans="1:34" ht="14.25" customHeight="1">
      <c r="A283" s="794"/>
      <c r="B283" s="833"/>
      <c r="C283" s="834"/>
      <c r="D283" s="834"/>
      <c r="E283" s="834"/>
      <c r="F283" s="834"/>
      <c r="G283" s="834"/>
      <c r="H283" s="835"/>
      <c r="I283" s="734">
        <v>0</v>
      </c>
      <c r="J283" s="735"/>
      <c r="K283" s="735"/>
      <c r="L283" s="736"/>
      <c r="M283" s="734">
        <v>10</v>
      </c>
      <c r="N283" s="735"/>
      <c r="O283" s="735"/>
      <c r="P283" s="736"/>
      <c r="Q283" s="734" t="s">
        <v>570</v>
      </c>
      <c r="R283" s="735"/>
      <c r="S283" s="735"/>
      <c r="T283" s="735"/>
      <c r="U283" s="735"/>
      <c r="V283" s="735"/>
      <c r="W283" s="736"/>
      <c r="X283" s="616"/>
      <c r="AE283" s="5"/>
      <c r="AF283" s="5"/>
      <c r="AH283" s="388"/>
    </row>
    <row r="284" spans="1:34" ht="12.75" customHeight="1">
      <c r="A284" s="777" t="s">
        <v>229</v>
      </c>
      <c r="B284" s="822" t="s">
        <v>571</v>
      </c>
      <c r="C284" s="823"/>
      <c r="D284" s="823"/>
      <c r="E284" s="823"/>
      <c r="F284" s="823"/>
      <c r="G284" s="823"/>
      <c r="H284" s="824"/>
      <c r="I284" s="836" t="s">
        <v>230</v>
      </c>
      <c r="J284" s="837"/>
      <c r="K284" s="837"/>
      <c r="L284" s="838"/>
      <c r="M284" s="836" t="s">
        <v>231</v>
      </c>
      <c r="N284" s="837"/>
      <c r="O284" s="837"/>
      <c r="P284" s="838"/>
      <c r="Q284" s="836" t="s">
        <v>572</v>
      </c>
      <c r="R284" s="837"/>
      <c r="S284" s="837"/>
      <c r="T284" s="837"/>
      <c r="U284" s="837"/>
      <c r="V284" s="837"/>
      <c r="W284" s="838"/>
      <c r="X284" s="616"/>
      <c r="AE284" s="5"/>
      <c r="AF284" s="5"/>
      <c r="AH284" s="388"/>
    </row>
    <row r="285" spans="1:34" ht="12.75" customHeight="1">
      <c r="A285" s="778"/>
      <c r="B285" s="825"/>
      <c r="C285" s="826"/>
      <c r="D285" s="826"/>
      <c r="E285" s="826"/>
      <c r="F285" s="826"/>
      <c r="G285" s="826"/>
      <c r="H285" s="827"/>
      <c r="I285" s="836"/>
      <c r="J285" s="837"/>
      <c r="K285" s="837"/>
      <c r="L285" s="838"/>
      <c r="M285" s="836"/>
      <c r="N285" s="837"/>
      <c r="O285" s="837"/>
      <c r="P285" s="838"/>
      <c r="Q285" s="836" t="s">
        <v>573</v>
      </c>
      <c r="R285" s="837"/>
      <c r="S285" s="837"/>
      <c r="T285" s="837"/>
      <c r="U285" s="837"/>
      <c r="V285" s="837"/>
      <c r="W285" s="838"/>
      <c r="X285" s="616"/>
      <c r="AE285" s="5"/>
      <c r="AF285" s="5"/>
      <c r="AH285" s="388"/>
    </row>
    <row r="286" spans="1:34" ht="12.75" customHeight="1">
      <c r="A286" s="778"/>
      <c r="B286" s="825"/>
      <c r="C286" s="826"/>
      <c r="D286" s="826"/>
      <c r="E286" s="826"/>
      <c r="F286" s="826"/>
      <c r="G286" s="826"/>
      <c r="H286" s="827"/>
      <c r="I286" s="836"/>
      <c r="J286" s="837"/>
      <c r="K286" s="837"/>
      <c r="L286" s="838"/>
      <c r="M286" s="836"/>
      <c r="N286" s="837"/>
      <c r="O286" s="837"/>
      <c r="P286" s="838"/>
      <c r="Q286" s="836"/>
      <c r="R286" s="837"/>
      <c r="S286" s="837"/>
      <c r="T286" s="837"/>
      <c r="U286" s="837"/>
      <c r="V286" s="837"/>
      <c r="W286" s="838"/>
      <c r="X286" s="616"/>
      <c r="AE286" s="5"/>
      <c r="AF286" s="5"/>
      <c r="AH286" s="388"/>
    </row>
    <row r="287" spans="1:34" ht="12.75" customHeight="1">
      <c r="A287" s="778"/>
      <c r="B287" s="825"/>
      <c r="C287" s="826"/>
      <c r="D287" s="826"/>
      <c r="E287" s="826"/>
      <c r="F287" s="826"/>
      <c r="G287" s="826"/>
      <c r="H287" s="827"/>
      <c r="I287" s="836"/>
      <c r="J287" s="837"/>
      <c r="K287" s="837"/>
      <c r="L287" s="838"/>
      <c r="M287" s="836"/>
      <c r="N287" s="837"/>
      <c r="O287" s="837"/>
      <c r="P287" s="838"/>
      <c r="Q287" s="836"/>
      <c r="R287" s="837"/>
      <c r="S287" s="837"/>
      <c r="T287" s="837"/>
      <c r="U287" s="837"/>
      <c r="V287" s="837"/>
      <c r="W287" s="838"/>
      <c r="X287" s="616"/>
      <c r="AE287" s="5"/>
      <c r="AF287" s="5"/>
      <c r="AH287" s="388"/>
    </row>
    <row r="288" spans="1:34" ht="12.75" customHeight="1">
      <c r="A288" s="778"/>
      <c r="B288" s="825"/>
      <c r="C288" s="826"/>
      <c r="D288" s="826"/>
      <c r="E288" s="826"/>
      <c r="F288" s="826"/>
      <c r="G288" s="826"/>
      <c r="H288" s="827"/>
      <c r="I288" s="836"/>
      <c r="J288" s="837"/>
      <c r="K288" s="837"/>
      <c r="L288" s="838"/>
      <c r="M288" s="836"/>
      <c r="N288" s="837"/>
      <c r="O288" s="837"/>
      <c r="P288" s="838"/>
      <c r="Q288" s="901" t="s">
        <v>574</v>
      </c>
      <c r="R288" s="902"/>
      <c r="S288" s="902"/>
      <c r="T288" s="902"/>
      <c r="U288" s="902"/>
      <c r="V288" s="902"/>
      <c r="W288" s="903"/>
      <c r="X288" s="616"/>
      <c r="AE288" s="5"/>
      <c r="AF288" s="5"/>
      <c r="AH288" s="388"/>
    </row>
    <row r="289" spans="1:34" ht="15.75" customHeight="1">
      <c r="A289" s="778"/>
      <c r="B289" s="825"/>
      <c r="C289" s="826"/>
      <c r="D289" s="826"/>
      <c r="E289" s="826"/>
      <c r="F289" s="826"/>
      <c r="G289" s="826"/>
      <c r="H289" s="827"/>
      <c r="I289" s="839"/>
      <c r="J289" s="840"/>
      <c r="K289" s="840"/>
      <c r="L289" s="841"/>
      <c r="M289" s="839"/>
      <c r="N289" s="840"/>
      <c r="O289" s="840"/>
      <c r="P289" s="841"/>
      <c r="Q289" s="962" t="s">
        <v>575</v>
      </c>
      <c r="R289" s="963"/>
      <c r="S289" s="963"/>
      <c r="T289" s="963"/>
      <c r="U289" s="963"/>
      <c r="V289" s="963"/>
      <c r="W289" s="964"/>
      <c r="X289" s="616"/>
      <c r="Y289" s="14"/>
      <c r="Z289" s="256"/>
      <c r="AA289" s="292"/>
      <c r="AB289" s="292"/>
      <c r="AC289" s="14"/>
      <c r="AD289" s="14"/>
      <c r="AE289" s="14"/>
      <c r="AF289" s="5"/>
      <c r="AH289" s="388"/>
    </row>
    <row r="290" spans="1:34" ht="12.75" customHeight="1">
      <c r="A290" s="778"/>
      <c r="B290" s="825"/>
      <c r="C290" s="826"/>
      <c r="D290" s="826"/>
      <c r="E290" s="826"/>
      <c r="F290" s="826"/>
      <c r="G290" s="826"/>
      <c r="H290" s="827"/>
      <c r="I290" s="813">
        <f>IF(Y291=0,IF(FIO="","",0),"")</f>
      </c>
      <c r="J290" s="850"/>
      <c r="K290" s="850"/>
      <c r="L290" s="851"/>
      <c r="M290" s="807"/>
      <c r="N290" s="808"/>
      <c r="O290" s="808"/>
      <c r="P290" s="809"/>
      <c r="Q290" s="904"/>
      <c r="R290" s="905"/>
      <c r="S290" s="905"/>
      <c r="T290" s="905"/>
      <c r="U290" s="905"/>
      <c r="V290" s="905"/>
      <c r="W290" s="906"/>
      <c r="X290" s="616"/>
      <c r="Z290" s="264" t="s">
        <v>209</v>
      </c>
      <c r="AA290" s="265" t="s">
        <v>281</v>
      </c>
      <c r="AE290" s="300" t="s">
        <v>4</v>
      </c>
      <c r="AF290" s="301" t="s">
        <v>3</v>
      </c>
      <c r="AH290" s="388"/>
    </row>
    <row r="291" spans="1:34" ht="12.75" customHeight="1">
      <c r="A291" s="779"/>
      <c r="B291" s="828"/>
      <c r="C291" s="829"/>
      <c r="D291" s="829"/>
      <c r="E291" s="829"/>
      <c r="F291" s="829"/>
      <c r="G291" s="829"/>
      <c r="H291" s="830"/>
      <c r="I291" s="852"/>
      <c r="J291" s="853"/>
      <c r="K291" s="853"/>
      <c r="L291" s="854"/>
      <c r="M291" s="810"/>
      <c r="N291" s="811"/>
      <c r="O291" s="811"/>
      <c r="P291" s="812"/>
      <c r="Q291" s="810"/>
      <c r="R291" s="811"/>
      <c r="S291" s="811"/>
      <c r="T291" s="811"/>
      <c r="U291" s="811"/>
      <c r="V291" s="811"/>
      <c r="W291" s="812"/>
      <c r="X291" s="616"/>
      <c r="Y291" s="280">
        <f>MAX(M290:W291)</f>
        <v>0</v>
      </c>
      <c r="Z291" s="266">
        <v>30</v>
      </c>
      <c r="AA291" s="283">
        <f>IF(z_kateg="высшая",AE291,AF291)</f>
        <v>10</v>
      </c>
      <c r="AE291" s="298">
        <v>20</v>
      </c>
      <c r="AF291" s="299">
        <v>10</v>
      </c>
      <c r="AH291" s="388"/>
    </row>
    <row r="292" spans="1:34" ht="14.25">
      <c r="A292" s="792" t="s">
        <v>204</v>
      </c>
      <c r="B292" s="795" t="s">
        <v>205</v>
      </c>
      <c r="C292" s="796"/>
      <c r="D292" s="796"/>
      <c r="E292" s="796"/>
      <c r="F292" s="799" t="s">
        <v>206</v>
      </c>
      <c r="G292" s="800"/>
      <c r="H292" s="800"/>
      <c r="I292" s="800"/>
      <c r="J292" s="800"/>
      <c r="K292" s="800"/>
      <c r="L292" s="800"/>
      <c r="M292" s="800"/>
      <c r="N292" s="800"/>
      <c r="O292" s="800"/>
      <c r="P292" s="800"/>
      <c r="Q292" s="800"/>
      <c r="R292" s="800"/>
      <c r="S292" s="800"/>
      <c r="T292" s="800"/>
      <c r="U292" s="800"/>
      <c r="V292" s="800"/>
      <c r="W292" s="801"/>
      <c r="X292" s="616"/>
      <c r="Y292" s="14"/>
      <c r="AA292" s="14"/>
      <c r="AC292" s="14"/>
      <c r="AE292" s="329"/>
      <c r="AH292" s="531"/>
    </row>
    <row r="293" spans="1:34" ht="14.25" customHeight="1">
      <c r="A293" s="793"/>
      <c r="B293" s="797"/>
      <c r="C293" s="798"/>
      <c r="D293" s="798"/>
      <c r="E293" s="798"/>
      <c r="F293" s="731" t="s">
        <v>211</v>
      </c>
      <c r="G293" s="732"/>
      <c r="H293" s="732"/>
      <c r="I293" s="732"/>
      <c r="J293" s="732"/>
      <c r="K293" s="732"/>
      <c r="L293" s="732"/>
      <c r="M293" s="732"/>
      <c r="N293" s="732"/>
      <c r="O293" s="732"/>
      <c r="P293" s="732"/>
      <c r="Q293" s="732"/>
      <c r="R293" s="732"/>
      <c r="S293" s="732"/>
      <c r="T293" s="732"/>
      <c r="U293" s="732"/>
      <c r="V293" s="732"/>
      <c r="W293" s="733"/>
      <c r="X293" s="616"/>
      <c r="Y293" s="14"/>
      <c r="Z293" s="14"/>
      <c r="AA293" s="14"/>
      <c r="AB293" s="14"/>
      <c r="AC293" s="14"/>
      <c r="AD293" s="14"/>
      <c r="AE293" s="329"/>
      <c r="AH293" s="531"/>
    </row>
    <row r="294" spans="1:34" ht="14.25" customHeight="1">
      <c r="A294" s="794"/>
      <c r="B294" s="797"/>
      <c r="C294" s="798"/>
      <c r="D294" s="798"/>
      <c r="E294" s="798"/>
      <c r="F294" s="734">
        <v>0</v>
      </c>
      <c r="G294" s="735"/>
      <c r="H294" s="736"/>
      <c r="I294" s="753">
        <v>10</v>
      </c>
      <c r="J294" s="754"/>
      <c r="K294" s="755"/>
      <c r="L294" s="753" t="s">
        <v>268</v>
      </c>
      <c r="M294" s="754"/>
      <c r="N294" s="754"/>
      <c r="O294" s="755"/>
      <c r="P294" s="753" t="s">
        <v>547</v>
      </c>
      <c r="Q294" s="754"/>
      <c r="R294" s="754"/>
      <c r="S294" s="755"/>
      <c r="T294" s="753" t="s">
        <v>576</v>
      </c>
      <c r="U294" s="754"/>
      <c r="V294" s="754"/>
      <c r="W294" s="755"/>
      <c r="X294" s="616"/>
      <c r="Y294" s="14"/>
      <c r="Z294" s="14"/>
      <c r="AA294" s="14"/>
      <c r="AB294" s="14"/>
      <c r="AC294" s="14"/>
      <c r="AD294" s="14"/>
      <c r="AE294" s="329"/>
      <c r="AH294" s="531"/>
    </row>
    <row r="295" spans="1:34" ht="12.75" customHeight="1">
      <c r="A295" s="777" t="s">
        <v>232</v>
      </c>
      <c r="B295" s="725" t="s">
        <v>580</v>
      </c>
      <c r="C295" s="726"/>
      <c r="D295" s="726"/>
      <c r="E295" s="727"/>
      <c r="F295" s="743" t="s">
        <v>286</v>
      </c>
      <c r="G295" s="756"/>
      <c r="H295" s="757"/>
      <c r="I295" s="743" t="s">
        <v>423</v>
      </c>
      <c r="J295" s="756"/>
      <c r="K295" s="757"/>
      <c r="L295" s="743" t="s">
        <v>578</v>
      </c>
      <c r="M295" s="756"/>
      <c r="N295" s="756"/>
      <c r="O295" s="757"/>
      <c r="P295" s="743" t="s">
        <v>422</v>
      </c>
      <c r="Q295" s="756"/>
      <c r="R295" s="756"/>
      <c r="S295" s="757"/>
      <c r="T295" s="743" t="s">
        <v>421</v>
      </c>
      <c r="U295" s="756"/>
      <c r="V295" s="756"/>
      <c r="W295" s="757"/>
      <c r="X295" s="616"/>
      <c r="Y295" s="14"/>
      <c r="AA295" s="14"/>
      <c r="AB295" s="14"/>
      <c r="AC295" s="14"/>
      <c r="AH295" s="531"/>
    </row>
    <row r="296" spans="1:34" ht="12.75" customHeight="1">
      <c r="A296" s="778"/>
      <c r="B296" s="728"/>
      <c r="C296" s="729"/>
      <c r="D296" s="729"/>
      <c r="E296" s="730"/>
      <c r="F296" s="758"/>
      <c r="G296" s="759"/>
      <c r="H296" s="760"/>
      <c r="I296" s="758"/>
      <c r="J296" s="759"/>
      <c r="K296" s="760"/>
      <c r="L296" s="758"/>
      <c r="M296" s="759"/>
      <c r="N296" s="759"/>
      <c r="O296" s="760"/>
      <c r="P296" s="758"/>
      <c r="Q296" s="759"/>
      <c r="R296" s="759"/>
      <c r="S296" s="760"/>
      <c r="T296" s="758"/>
      <c r="U296" s="759"/>
      <c r="V296" s="759"/>
      <c r="W296" s="760"/>
      <c r="X296" s="616"/>
      <c r="Y296" s="14"/>
      <c r="AA296" s="14"/>
      <c r="AB296" s="14"/>
      <c r="AC296" s="14"/>
      <c r="AH296" s="531"/>
    </row>
    <row r="297" spans="1:34" ht="23.25" customHeight="1">
      <c r="A297" s="778"/>
      <c r="B297" s="728"/>
      <c r="C297" s="729"/>
      <c r="D297" s="729"/>
      <c r="E297" s="730"/>
      <c r="F297" s="758"/>
      <c r="G297" s="759"/>
      <c r="H297" s="760"/>
      <c r="I297" s="758"/>
      <c r="J297" s="759"/>
      <c r="K297" s="760"/>
      <c r="L297" s="758"/>
      <c r="M297" s="759"/>
      <c r="N297" s="759"/>
      <c r="O297" s="760"/>
      <c r="P297" s="758"/>
      <c r="Q297" s="759"/>
      <c r="R297" s="759"/>
      <c r="S297" s="760"/>
      <c r="T297" s="758"/>
      <c r="U297" s="759"/>
      <c r="V297" s="759"/>
      <c r="W297" s="760"/>
      <c r="X297" s="616"/>
      <c r="Y297" s="14"/>
      <c r="AA297" s="14"/>
      <c r="AB297" s="14"/>
      <c r="AC297" s="14"/>
      <c r="AH297" s="531"/>
    </row>
    <row r="298" spans="1:34" ht="21.75" customHeight="1">
      <c r="A298" s="778"/>
      <c r="B298" s="728"/>
      <c r="C298" s="729"/>
      <c r="D298" s="729"/>
      <c r="E298" s="730"/>
      <c r="F298" s="737"/>
      <c r="G298" s="787"/>
      <c r="H298" s="788"/>
      <c r="I298" s="781"/>
      <c r="J298" s="782"/>
      <c r="K298" s="783"/>
      <c r="L298" s="842" t="s">
        <v>292</v>
      </c>
      <c r="M298" s="843"/>
      <c r="N298" s="843"/>
      <c r="O298" s="843"/>
      <c r="P298" s="842" t="s">
        <v>294</v>
      </c>
      <c r="Q298" s="843"/>
      <c r="R298" s="843"/>
      <c r="S298" s="843"/>
      <c r="T298" s="842" t="s">
        <v>296</v>
      </c>
      <c r="U298" s="843"/>
      <c r="V298" s="843"/>
      <c r="W298" s="844"/>
      <c r="X298" s="616"/>
      <c r="Y298" s="14"/>
      <c r="AH298" s="531"/>
    </row>
    <row r="299" spans="1:34" ht="21.75" customHeight="1">
      <c r="A299" s="778"/>
      <c r="B299" s="728"/>
      <c r="C299" s="729"/>
      <c r="D299" s="729"/>
      <c r="E299" s="730"/>
      <c r="F299" s="789"/>
      <c r="G299" s="790"/>
      <c r="H299" s="791"/>
      <c r="I299" s="781"/>
      <c r="J299" s="782"/>
      <c r="K299" s="783"/>
      <c r="L299" s="804" t="s">
        <v>293</v>
      </c>
      <c r="M299" s="805"/>
      <c r="N299" s="805"/>
      <c r="O299" s="805"/>
      <c r="P299" s="804" t="s">
        <v>295</v>
      </c>
      <c r="Q299" s="805"/>
      <c r="R299" s="805"/>
      <c r="S299" s="805"/>
      <c r="T299" s="804" t="s">
        <v>285</v>
      </c>
      <c r="U299" s="805"/>
      <c r="V299" s="805"/>
      <c r="W299" s="806"/>
      <c r="X299" s="616"/>
      <c r="Y299" s="14"/>
      <c r="AH299" s="531"/>
    </row>
    <row r="300" spans="1:34" ht="12.75" customHeight="1">
      <c r="A300" s="778"/>
      <c r="B300" s="728"/>
      <c r="C300" s="729"/>
      <c r="D300" s="729"/>
      <c r="E300" s="730"/>
      <c r="F300" s="813">
        <f>IF(Y301=0,IF(FIO="","",0),"")</f>
      </c>
      <c r="G300" s="744"/>
      <c r="H300" s="745"/>
      <c r="I300" s="807"/>
      <c r="J300" s="808"/>
      <c r="K300" s="809"/>
      <c r="L300" s="770"/>
      <c r="M300" s="770"/>
      <c r="N300" s="770"/>
      <c r="O300" s="770"/>
      <c r="P300" s="770"/>
      <c r="Q300" s="770"/>
      <c r="R300" s="770"/>
      <c r="S300" s="770"/>
      <c r="T300" s="770"/>
      <c r="U300" s="770"/>
      <c r="V300" s="770"/>
      <c r="W300" s="770"/>
      <c r="X300" s="616"/>
      <c r="Z300" s="264" t="s">
        <v>209</v>
      </c>
      <c r="AA300" s="265" t="s">
        <v>281</v>
      </c>
      <c r="AE300" s="568" t="s">
        <v>4</v>
      </c>
      <c r="AF300" s="569" t="s">
        <v>3</v>
      </c>
      <c r="AH300" s="531"/>
    </row>
    <row r="301" spans="1:34" ht="12.75" customHeight="1">
      <c r="A301" s="779"/>
      <c r="B301" s="1064" t="s">
        <v>317</v>
      </c>
      <c r="C301" s="1065"/>
      <c r="D301" s="1065"/>
      <c r="E301" s="1066"/>
      <c r="F301" s="740"/>
      <c r="G301" s="741"/>
      <c r="H301" s="742"/>
      <c r="I301" s="810"/>
      <c r="J301" s="811"/>
      <c r="K301" s="812"/>
      <c r="L301" s="770"/>
      <c r="M301" s="770"/>
      <c r="N301" s="770"/>
      <c r="O301" s="770"/>
      <c r="P301" s="770"/>
      <c r="Q301" s="770"/>
      <c r="R301" s="770"/>
      <c r="S301" s="770"/>
      <c r="T301" s="770"/>
      <c r="U301" s="770"/>
      <c r="V301" s="770"/>
      <c r="W301" s="770"/>
      <c r="X301" s="616"/>
      <c r="Y301" s="280">
        <f>SUM(I300:W301)</f>
        <v>0</v>
      </c>
      <c r="Z301" s="266">
        <v>100</v>
      </c>
      <c r="AA301" s="283">
        <f>IF(z_kateg="высшая",AE301,AF301)</f>
        <v>10</v>
      </c>
      <c r="AE301" s="570">
        <v>20</v>
      </c>
      <c r="AF301" s="571">
        <v>10</v>
      </c>
      <c r="AH301" s="531"/>
    </row>
    <row r="302" spans="1:34" ht="12.75" customHeight="1">
      <c r="A302" s="777" t="s">
        <v>233</v>
      </c>
      <c r="B302" s="725" t="s">
        <v>577</v>
      </c>
      <c r="C302" s="726"/>
      <c r="D302" s="726"/>
      <c r="E302" s="727"/>
      <c r="F302" s="743" t="s">
        <v>286</v>
      </c>
      <c r="G302" s="756"/>
      <c r="H302" s="757"/>
      <c r="I302" s="743" t="s">
        <v>423</v>
      </c>
      <c r="J302" s="756"/>
      <c r="K302" s="757"/>
      <c r="L302" s="743" t="s">
        <v>578</v>
      </c>
      <c r="M302" s="756"/>
      <c r="N302" s="756"/>
      <c r="O302" s="757"/>
      <c r="P302" s="743" t="s">
        <v>422</v>
      </c>
      <c r="Q302" s="756"/>
      <c r="R302" s="756"/>
      <c r="S302" s="757"/>
      <c r="T302" s="743" t="s">
        <v>579</v>
      </c>
      <c r="U302" s="756"/>
      <c r="V302" s="756"/>
      <c r="W302" s="757"/>
      <c r="X302" s="616"/>
      <c r="Y302" s="14"/>
      <c r="AA302" s="14"/>
      <c r="AB302" s="14"/>
      <c r="AC302" s="14"/>
      <c r="AH302" s="531"/>
    </row>
    <row r="303" spans="1:34" ht="15.75" customHeight="1">
      <c r="A303" s="778"/>
      <c r="B303" s="728"/>
      <c r="C303" s="729"/>
      <c r="D303" s="729"/>
      <c r="E303" s="730"/>
      <c r="F303" s="758"/>
      <c r="G303" s="759"/>
      <c r="H303" s="760"/>
      <c r="I303" s="758"/>
      <c r="J303" s="759"/>
      <c r="K303" s="760"/>
      <c r="L303" s="758"/>
      <c r="M303" s="759"/>
      <c r="N303" s="759"/>
      <c r="O303" s="760"/>
      <c r="P303" s="758"/>
      <c r="Q303" s="759"/>
      <c r="R303" s="759"/>
      <c r="S303" s="760"/>
      <c r="T303" s="758"/>
      <c r="U303" s="759"/>
      <c r="V303" s="759"/>
      <c r="W303" s="760"/>
      <c r="X303" s="616"/>
      <c r="Y303" s="14"/>
      <c r="AA303" s="14"/>
      <c r="AB303" s="14"/>
      <c r="AC303" s="14"/>
      <c r="AH303" s="531"/>
    </row>
    <row r="304" spans="1:34" ht="3" customHeight="1">
      <c r="A304" s="778"/>
      <c r="B304" s="728"/>
      <c r="C304" s="729"/>
      <c r="D304" s="729"/>
      <c r="E304" s="730"/>
      <c r="F304" s="758"/>
      <c r="G304" s="759"/>
      <c r="H304" s="760"/>
      <c r="I304" s="758"/>
      <c r="J304" s="759"/>
      <c r="K304" s="760"/>
      <c r="L304" s="758"/>
      <c r="M304" s="759"/>
      <c r="N304" s="759"/>
      <c r="O304" s="760"/>
      <c r="P304" s="758"/>
      <c r="Q304" s="759"/>
      <c r="R304" s="759"/>
      <c r="S304" s="760"/>
      <c r="T304" s="758"/>
      <c r="U304" s="759"/>
      <c r="V304" s="759"/>
      <c r="W304" s="760"/>
      <c r="X304" s="616"/>
      <c r="Y304" s="14"/>
      <c r="AA304" s="14"/>
      <c r="AB304" s="14"/>
      <c r="AC304" s="14"/>
      <c r="AH304" s="531"/>
    </row>
    <row r="305" spans="1:34" ht="12.75" customHeight="1">
      <c r="A305" s="778"/>
      <c r="B305" s="728"/>
      <c r="C305" s="729"/>
      <c r="D305" s="729"/>
      <c r="E305" s="730"/>
      <c r="F305" s="737"/>
      <c r="G305" s="787"/>
      <c r="H305" s="788"/>
      <c r="I305" s="781"/>
      <c r="J305" s="782"/>
      <c r="K305" s="783"/>
      <c r="L305" s="842" t="s">
        <v>297</v>
      </c>
      <c r="M305" s="843"/>
      <c r="N305" s="843"/>
      <c r="O305" s="844"/>
      <c r="P305" s="842" t="s">
        <v>298</v>
      </c>
      <c r="Q305" s="843"/>
      <c r="R305" s="843"/>
      <c r="S305" s="844"/>
      <c r="T305" s="842" t="s">
        <v>428</v>
      </c>
      <c r="U305" s="843"/>
      <c r="V305" s="843"/>
      <c r="W305" s="844"/>
      <c r="X305" s="616"/>
      <c r="Y305" s="14"/>
      <c r="AH305" s="531"/>
    </row>
    <row r="306" spans="1:34" ht="15.75" customHeight="1">
      <c r="A306" s="778"/>
      <c r="B306" s="728"/>
      <c r="C306" s="729"/>
      <c r="D306" s="729"/>
      <c r="E306" s="730"/>
      <c r="F306" s="789"/>
      <c r="G306" s="790"/>
      <c r="H306" s="791"/>
      <c r="I306" s="781"/>
      <c r="J306" s="782"/>
      <c r="K306" s="783"/>
      <c r="L306" s="804" t="s">
        <v>293</v>
      </c>
      <c r="M306" s="805"/>
      <c r="N306" s="805"/>
      <c r="O306" s="806"/>
      <c r="P306" s="804" t="s">
        <v>427</v>
      </c>
      <c r="Q306" s="805"/>
      <c r="R306" s="805"/>
      <c r="S306" s="806"/>
      <c r="T306" s="804" t="s">
        <v>429</v>
      </c>
      <c r="U306" s="805"/>
      <c r="V306" s="805"/>
      <c r="W306" s="806"/>
      <c r="X306" s="616"/>
      <c r="Y306" s="14"/>
      <c r="AH306" s="531"/>
    </row>
    <row r="307" spans="1:34" ht="12.75" customHeight="1">
      <c r="A307" s="778"/>
      <c r="B307" s="761" t="str">
        <f>B301</f>
        <v>(далее – Прил. № 4)</v>
      </c>
      <c r="C307" s="762"/>
      <c r="D307" s="762"/>
      <c r="E307" s="763"/>
      <c r="F307" s="813">
        <f>IF(Y308=0,IF(FIO="","",0),"")</f>
      </c>
      <c r="G307" s="744"/>
      <c r="H307" s="745"/>
      <c r="I307" s="807"/>
      <c r="J307" s="808"/>
      <c r="K307" s="809"/>
      <c r="L307" s="807"/>
      <c r="M307" s="808"/>
      <c r="N307" s="808"/>
      <c r="O307" s="809"/>
      <c r="P307" s="807"/>
      <c r="Q307" s="808"/>
      <c r="R307" s="808"/>
      <c r="S307" s="809"/>
      <c r="T307" s="807"/>
      <c r="U307" s="808"/>
      <c r="V307" s="808"/>
      <c r="W307" s="809"/>
      <c r="X307" s="616"/>
      <c r="Z307" s="264" t="s">
        <v>209</v>
      </c>
      <c r="AA307" s="265" t="s">
        <v>281</v>
      </c>
      <c r="AE307" s="568" t="s">
        <v>4</v>
      </c>
      <c r="AF307" s="569" t="s">
        <v>3</v>
      </c>
      <c r="AH307" s="531"/>
    </row>
    <row r="308" spans="1:34" ht="12.75" customHeight="1">
      <c r="A308" s="779"/>
      <c r="B308" s="764"/>
      <c r="C308" s="765"/>
      <c r="D308" s="765"/>
      <c r="E308" s="766"/>
      <c r="F308" s="740"/>
      <c r="G308" s="741"/>
      <c r="H308" s="742"/>
      <c r="I308" s="810"/>
      <c r="J308" s="811"/>
      <c r="K308" s="812"/>
      <c r="L308" s="810"/>
      <c r="M308" s="811"/>
      <c r="N308" s="811"/>
      <c r="O308" s="812"/>
      <c r="P308" s="810"/>
      <c r="Q308" s="811"/>
      <c r="R308" s="811"/>
      <c r="S308" s="812"/>
      <c r="T308" s="810"/>
      <c r="U308" s="811"/>
      <c r="V308" s="811"/>
      <c r="W308" s="812"/>
      <c r="X308" s="616"/>
      <c r="Y308" s="280">
        <f>SUM(I307:W308)</f>
        <v>0</v>
      </c>
      <c r="Z308" s="266">
        <v>120</v>
      </c>
      <c r="AA308" s="283">
        <f>IF(z_kateg="высшая",AE308,AF308)</f>
        <v>10</v>
      </c>
      <c r="AE308" s="570">
        <v>20</v>
      </c>
      <c r="AF308" s="571">
        <v>10</v>
      </c>
      <c r="AH308" s="531"/>
    </row>
    <row r="309" spans="1:34" ht="12.75" customHeight="1">
      <c r="A309" s="1061" t="s">
        <v>234</v>
      </c>
      <c r="B309" s="725" t="s">
        <v>479</v>
      </c>
      <c r="C309" s="726"/>
      <c r="D309" s="726"/>
      <c r="E309" s="727"/>
      <c r="F309" s="743" t="s">
        <v>286</v>
      </c>
      <c r="G309" s="756"/>
      <c r="H309" s="757"/>
      <c r="I309" s="743" t="s">
        <v>423</v>
      </c>
      <c r="J309" s="756"/>
      <c r="K309" s="757"/>
      <c r="L309" s="743" t="s">
        <v>420</v>
      </c>
      <c r="M309" s="756"/>
      <c r="N309" s="756"/>
      <c r="O309" s="757"/>
      <c r="P309" s="743" t="s">
        <v>422</v>
      </c>
      <c r="Q309" s="756"/>
      <c r="R309" s="756"/>
      <c r="S309" s="757"/>
      <c r="T309" s="743" t="s">
        <v>421</v>
      </c>
      <c r="U309" s="756"/>
      <c r="V309" s="756"/>
      <c r="W309" s="757"/>
      <c r="X309" s="616"/>
      <c r="Y309" s="14"/>
      <c r="AA309" s="14"/>
      <c r="AB309" s="14"/>
      <c r="AC309" s="14"/>
      <c r="AH309" s="531"/>
    </row>
    <row r="310" spans="1:34" ht="12.75" customHeight="1">
      <c r="A310" s="1062"/>
      <c r="B310" s="728"/>
      <c r="C310" s="729"/>
      <c r="D310" s="729"/>
      <c r="E310" s="730"/>
      <c r="F310" s="758"/>
      <c r="G310" s="759"/>
      <c r="H310" s="760"/>
      <c r="I310" s="758"/>
      <c r="J310" s="759"/>
      <c r="K310" s="760"/>
      <c r="L310" s="758"/>
      <c r="M310" s="759"/>
      <c r="N310" s="759"/>
      <c r="O310" s="760"/>
      <c r="P310" s="758"/>
      <c r="Q310" s="759"/>
      <c r="R310" s="759"/>
      <c r="S310" s="760"/>
      <c r="T310" s="758"/>
      <c r="U310" s="759"/>
      <c r="V310" s="759"/>
      <c r="W310" s="760"/>
      <c r="X310" s="616"/>
      <c r="Y310" s="14"/>
      <c r="AA310" s="14"/>
      <c r="AB310" s="14"/>
      <c r="AC310" s="14"/>
      <c r="AH310" s="531"/>
    </row>
    <row r="311" spans="1:34" ht="15" customHeight="1">
      <c r="A311" s="1062"/>
      <c r="B311" s="728"/>
      <c r="C311" s="729"/>
      <c r="D311" s="729"/>
      <c r="E311" s="730"/>
      <c r="F311" s="758"/>
      <c r="G311" s="759"/>
      <c r="H311" s="760"/>
      <c r="I311" s="758"/>
      <c r="J311" s="759"/>
      <c r="K311" s="760"/>
      <c r="L311" s="758"/>
      <c r="M311" s="759"/>
      <c r="N311" s="759"/>
      <c r="O311" s="760"/>
      <c r="P311" s="758"/>
      <c r="Q311" s="759"/>
      <c r="R311" s="759"/>
      <c r="S311" s="760"/>
      <c r="T311" s="758"/>
      <c r="U311" s="759"/>
      <c r="V311" s="759"/>
      <c r="W311" s="760"/>
      <c r="X311" s="616"/>
      <c r="Y311" s="14"/>
      <c r="AA311" s="14"/>
      <c r="AB311" s="14"/>
      <c r="AC311" s="14"/>
      <c r="AH311" s="531"/>
    </row>
    <row r="312" spans="1:34" ht="13.5" customHeight="1">
      <c r="A312" s="1062"/>
      <c r="B312" s="728"/>
      <c r="C312" s="729"/>
      <c r="D312" s="729"/>
      <c r="E312" s="730"/>
      <c r="F312" s="737"/>
      <c r="G312" s="787"/>
      <c r="H312" s="788"/>
      <c r="I312" s="781"/>
      <c r="J312" s="782"/>
      <c r="K312" s="783"/>
      <c r="L312" s="842" t="s">
        <v>299</v>
      </c>
      <c r="M312" s="843"/>
      <c r="N312" s="843"/>
      <c r="O312" s="844"/>
      <c r="P312" s="842" t="s">
        <v>300</v>
      </c>
      <c r="Q312" s="843"/>
      <c r="R312" s="843"/>
      <c r="S312" s="844"/>
      <c r="T312" s="842" t="s">
        <v>301</v>
      </c>
      <c r="U312" s="843"/>
      <c r="V312" s="843"/>
      <c r="W312" s="844"/>
      <c r="X312" s="616"/>
      <c r="Y312" s="14"/>
      <c r="AH312" s="531"/>
    </row>
    <row r="313" spans="1:34" ht="15" customHeight="1">
      <c r="A313" s="1062"/>
      <c r="B313" s="728"/>
      <c r="C313" s="729"/>
      <c r="D313" s="729"/>
      <c r="E313" s="730"/>
      <c r="F313" s="789"/>
      <c r="G313" s="790"/>
      <c r="H313" s="791"/>
      <c r="I313" s="781"/>
      <c r="J313" s="782"/>
      <c r="K313" s="783"/>
      <c r="L313" s="804" t="s">
        <v>293</v>
      </c>
      <c r="M313" s="805"/>
      <c r="N313" s="805"/>
      <c r="O313" s="806"/>
      <c r="P313" s="804" t="s">
        <v>295</v>
      </c>
      <c r="Q313" s="805"/>
      <c r="R313" s="805"/>
      <c r="S313" s="806"/>
      <c r="T313" s="804" t="s">
        <v>285</v>
      </c>
      <c r="U313" s="805"/>
      <c r="V313" s="805"/>
      <c r="W313" s="806"/>
      <c r="X313" s="616"/>
      <c r="Y313" s="14"/>
      <c r="AH313" s="531"/>
    </row>
    <row r="314" spans="1:34" ht="12.75" customHeight="1">
      <c r="A314" s="1062"/>
      <c r="B314" s="728"/>
      <c r="C314" s="729"/>
      <c r="D314" s="729"/>
      <c r="E314" s="730"/>
      <c r="F314" s="813">
        <f>IF(Y315=0,IF(FIO="","",0),"")</f>
      </c>
      <c r="G314" s="744"/>
      <c r="H314" s="745"/>
      <c r="I314" s="807"/>
      <c r="J314" s="808"/>
      <c r="K314" s="809"/>
      <c r="L314" s="807"/>
      <c r="M314" s="808"/>
      <c r="N314" s="808"/>
      <c r="O314" s="809"/>
      <c r="P314" s="807"/>
      <c r="Q314" s="808"/>
      <c r="R314" s="808"/>
      <c r="S314" s="809"/>
      <c r="T314" s="807"/>
      <c r="U314" s="808"/>
      <c r="V314" s="808"/>
      <c r="W314" s="809"/>
      <c r="X314" s="616"/>
      <c r="Z314" s="264" t="s">
        <v>209</v>
      </c>
      <c r="AA314" s="265" t="s">
        <v>281</v>
      </c>
      <c r="AE314" s="568" t="s">
        <v>4</v>
      </c>
      <c r="AF314" s="569" t="s">
        <v>3</v>
      </c>
      <c r="AH314" s="531"/>
    </row>
    <row r="315" spans="1:34" ht="12.75" customHeight="1">
      <c r="A315" s="1063"/>
      <c r="B315" s="764" t="str">
        <f>B301</f>
        <v>(далее – Прил. № 4)</v>
      </c>
      <c r="C315" s="765"/>
      <c r="D315" s="765"/>
      <c r="E315" s="766"/>
      <c r="F315" s="740"/>
      <c r="G315" s="741"/>
      <c r="H315" s="742"/>
      <c r="I315" s="810"/>
      <c r="J315" s="811"/>
      <c r="K315" s="812"/>
      <c r="L315" s="810"/>
      <c r="M315" s="811"/>
      <c r="N315" s="811"/>
      <c r="O315" s="812"/>
      <c r="P315" s="810"/>
      <c r="Q315" s="811"/>
      <c r="R315" s="811"/>
      <c r="S315" s="812"/>
      <c r="T315" s="810"/>
      <c r="U315" s="811"/>
      <c r="V315" s="811"/>
      <c r="W315" s="812"/>
      <c r="X315" s="616"/>
      <c r="Y315" s="280">
        <f>SUM(I314:W315)</f>
        <v>0</v>
      </c>
      <c r="Z315" s="266">
        <v>100</v>
      </c>
      <c r="AA315" s="283">
        <f>IF(z_kateg="высшая",AE315,AF315)</f>
        <v>0</v>
      </c>
      <c r="AE315" s="570">
        <v>10</v>
      </c>
      <c r="AF315" s="571">
        <v>0</v>
      </c>
      <c r="AH315" s="531"/>
    </row>
    <row r="316" spans="1:34" ht="14.25">
      <c r="A316" s="792" t="s">
        <v>204</v>
      </c>
      <c r="B316" s="795" t="s">
        <v>205</v>
      </c>
      <c r="C316" s="796"/>
      <c r="D316" s="796"/>
      <c r="E316" s="796"/>
      <c r="F316" s="799" t="s">
        <v>206</v>
      </c>
      <c r="G316" s="800"/>
      <c r="H316" s="800"/>
      <c r="I316" s="800"/>
      <c r="J316" s="800"/>
      <c r="K316" s="800"/>
      <c r="L316" s="800"/>
      <c r="M316" s="800"/>
      <c r="N316" s="800"/>
      <c r="O316" s="800"/>
      <c r="P316" s="800"/>
      <c r="Q316" s="800"/>
      <c r="R316" s="800"/>
      <c r="S316" s="800"/>
      <c r="T316" s="800"/>
      <c r="U316" s="800"/>
      <c r="V316" s="800"/>
      <c r="W316" s="801"/>
      <c r="X316" s="616"/>
      <c r="Y316" s="14"/>
      <c r="AH316" s="531"/>
    </row>
    <row r="317" spans="1:34" ht="12.75" customHeight="1">
      <c r="A317" s="793"/>
      <c r="B317" s="797"/>
      <c r="C317" s="798"/>
      <c r="D317" s="798"/>
      <c r="E317" s="798"/>
      <c r="F317" s="731" t="s">
        <v>211</v>
      </c>
      <c r="G317" s="732"/>
      <c r="H317" s="732"/>
      <c r="I317" s="732"/>
      <c r="J317" s="732"/>
      <c r="K317" s="732"/>
      <c r="L317" s="732"/>
      <c r="M317" s="732"/>
      <c r="N317" s="732"/>
      <c r="O317" s="732"/>
      <c r="P317" s="732"/>
      <c r="Q317" s="732"/>
      <c r="R317" s="732"/>
      <c r="S317" s="732"/>
      <c r="T317" s="732"/>
      <c r="U317" s="732"/>
      <c r="V317" s="732"/>
      <c r="W317" s="733"/>
      <c r="X317" s="616"/>
      <c r="AH317" s="531"/>
    </row>
    <row r="318" spans="1:34" ht="12.75" customHeight="1">
      <c r="A318" s="794"/>
      <c r="B318" s="833"/>
      <c r="C318" s="834"/>
      <c r="D318" s="834"/>
      <c r="E318" s="834"/>
      <c r="F318" s="849">
        <v>0</v>
      </c>
      <c r="G318" s="849"/>
      <c r="H318" s="849"/>
      <c r="I318" s="849">
        <v>10</v>
      </c>
      <c r="J318" s="849"/>
      <c r="K318" s="849"/>
      <c r="L318" s="849"/>
      <c r="M318" s="849"/>
      <c r="N318" s="849"/>
      <c r="O318" s="849"/>
      <c r="P318" s="734" t="s">
        <v>268</v>
      </c>
      <c r="Q318" s="735"/>
      <c r="R318" s="735"/>
      <c r="S318" s="735"/>
      <c r="T318" s="735"/>
      <c r="U318" s="735"/>
      <c r="V318" s="735"/>
      <c r="W318" s="736"/>
      <c r="X318" s="616"/>
      <c r="AH318" s="531"/>
    </row>
    <row r="319" spans="1:34" ht="12.75">
      <c r="A319" s="777" t="s">
        <v>235</v>
      </c>
      <c r="B319" s="725" t="s">
        <v>581</v>
      </c>
      <c r="C319" s="726"/>
      <c r="D319" s="726"/>
      <c r="E319" s="727"/>
      <c r="F319" s="865" t="s">
        <v>302</v>
      </c>
      <c r="G319" s="865"/>
      <c r="H319" s="865"/>
      <c r="I319" s="865" t="s">
        <v>430</v>
      </c>
      <c r="J319" s="865"/>
      <c r="K319" s="865"/>
      <c r="L319" s="865"/>
      <c r="M319" s="865"/>
      <c r="N319" s="865"/>
      <c r="O319" s="865"/>
      <c r="P319" s="743" t="s">
        <v>454</v>
      </c>
      <c r="Q319" s="756"/>
      <c r="R319" s="756"/>
      <c r="S319" s="756"/>
      <c r="T319" s="756"/>
      <c r="U319" s="756"/>
      <c r="V319" s="756"/>
      <c r="W319" s="757"/>
      <c r="X319" s="616"/>
      <c r="Y319" s="14"/>
      <c r="AH319" s="531"/>
    </row>
    <row r="320" spans="1:34" ht="12.75">
      <c r="A320" s="778"/>
      <c r="B320" s="728"/>
      <c r="C320" s="729"/>
      <c r="D320" s="729"/>
      <c r="E320" s="730"/>
      <c r="F320" s="865"/>
      <c r="G320" s="865"/>
      <c r="H320" s="865"/>
      <c r="I320" s="865"/>
      <c r="J320" s="865"/>
      <c r="K320" s="865"/>
      <c r="L320" s="865"/>
      <c r="M320" s="865"/>
      <c r="N320" s="865"/>
      <c r="O320" s="865"/>
      <c r="P320" s="758"/>
      <c r="Q320" s="759"/>
      <c r="R320" s="759"/>
      <c r="S320" s="759"/>
      <c r="T320" s="759"/>
      <c r="U320" s="759"/>
      <c r="V320" s="759"/>
      <c r="W320" s="760"/>
      <c r="X320" s="616"/>
      <c r="Y320" s="14"/>
      <c r="AH320" s="531"/>
    </row>
    <row r="321" spans="1:34" ht="12.75">
      <c r="A321" s="778"/>
      <c r="B321" s="728"/>
      <c r="C321" s="729"/>
      <c r="D321" s="729"/>
      <c r="E321" s="730"/>
      <c r="F321" s="865"/>
      <c r="G321" s="865"/>
      <c r="H321" s="865"/>
      <c r="I321" s="865"/>
      <c r="J321" s="865"/>
      <c r="K321" s="865"/>
      <c r="L321" s="865"/>
      <c r="M321" s="865"/>
      <c r="N321" s="865"/>
      <c r="O321" s="865"/>
      <c r="P321" s="758"/>
      <c r="Q321" s="759"/>
      <c r="R321" s="759"/>
      <c r="S321" s="759"/>
      <c r="T321" s="759"/>
      <c r="U321" s="759"/>
      <c r="V321" s="759"/>
      <c r="W321" s="760"/>
      <c r="X321" s="616"/>
      <c r="Y321" s="14"/>
      <c r="AH321" s="531"/>
    </row>
    <row r="322" spans="1:34" ht="12.75">
      <c r="A322" s="778"/>
      <c r="B322" s="728"/>
      <c r="C322" s="729"/>
      <c r="D322" s="729"/>
      <c r="E322" s="730"/>
      <c r="F322" s="865"/>
      <c r="G322" s="865"/>
      <c r="H322" s="865"/>
      <c r="I322" s="865"/>
      <c r="J322" s="865"/>
      <c r="K322" s="865"/>
      <c r="L322" s="865"/>
      <c r="M322" s="865"/>
      <c r="N322" s="865"/>
      <c r="O322" s="865"/>
      <c r="P322" s="758"/>
      <c r="Q322" s="759"/>
      <c r="R322" s="759"/>
      <c r="S322" s="759"/>
      <c r="T322" s="759"/>
      <c r="U322" s="759"/>
      <c r="V322" s="759"/>
      <c r="W322" s="760"/>
      <c r="X322" s="616"/>
      <c r="Y322" s="14"/>
      <c r="AH322" s="531"/>
    </row>
    <row r="323" spans="1:34" ht="12.75">
      <c r="A323" s="778"/>
      <c r="B323" s="728"/>
      <c r="C323" s="729"/>
      <c r="D323" s="729"/>
      <c r="E323" s="730"/>
      <c r="F323" s="865"/>
      <c r="G323" s="865"/>
      <c r="H323" s="865"/>
      <c r="I323" s="865"/>
      <c r="J323" s="865"/>
      <c r="K323" s="865"/>
      <c r="L323" s="865"/>
      <c r="M323" s="865"/>
      <c r="N323" s="865"/>
      <c r="O323" s="865"/>
      <c r="P323" s="814"/>
      <c r="Q323" s="815"/>
      <c r="R323" s="815"/>
      <c r="S323" s="815"/>
      <c r="T323" s="815"/>
      <c r="U323" s="815"/>
      <c r="V323" s="815"/>
      <c r="W323" s="816"/>
      <c r="X323" s="616"/>
      <c r="Y323" s="14"/>
      <c r="AH323" s="531"/>
    </row>
    <row r="324" spans="1:34" ht="12.75" customHeight="1">
      <c r="A324" s="778"/>
      <c r="B324" s="761" t="str">
        <f>B301</f>
        <v>(далее – Прил. № 4)</v>
      </c>
      <c r="C324" s="762"/>
      <c r="D324" s="762"/>
      <c r="E324" s="763"/>
      <c r="F324" s="813">
        <f>IF(Y325=0,IF(FIO="","",0),"")</f>
      </c>
      <c r="G324" s="744"/>
      <c r="H324" s="745"/>
      <c r="I324" s="770"/>
      <c r="J324" s="770"/>
      <c r="K324" s="770"/>
      <c r="L324" s="770"/>
      <c r="M324" s="770"/>
      <c r="N324" s="770"/>
      <c r="O324" s="770"/>
      <c r="P324" s="807"/>
      <c r="Q324" s="808"/>
      <c r="R324" s="808"/>
      <c r="S324" s="808"/>
      <c r="T324" s="808"/>
      <c r="U324" s="808"/>
      <c r="V324" s="808"/>
      <c r="W324" s="809"/>
      <c r="X324" s="616"/>
      <c r="Z324" s="264" t="s">
        <v>209</v>
      </c>
      <c r="AA324" s="265" t="s">
        <v>281</v>
      </c>
      <c r="AE324" s="568" t="s">
        <v>4</v>
      </c>
      <c r="AF324" s="569" t="s">
        <v>3</v>
      </c>
      <c r="AH324" s="531"/>
    </row>
    <row r="325" spans="1:34" ht="12.75" customHeight="1">
      <c r="A325" s="779"/>
      <c r="B325" s="764"/>
      <c r="C325" s="765"/>
      <c r="D325" s="765"/>
      <c r="E325" s="766"/>
      <c r="F325" s="740"/>
      <c r="G325" s="741"/>
      <c r="H325" s="742"/>
      <c r="I325" s="770"/>
      <c r="J325" s="770"/>
      <c r="K325" s="770"/>
      <c r="L325" s="770"/>
      <c r="M325" s="770"/>
      <c r="N325" s="770"/>
      <c r="O325" s="770"/>
      <c r="P325" s="810"/>
      <c r="Q325" s="811"/>
      <c r="R325" s="811"/>
      <c r="S325" s="811"/>
      <c r="T325" s="811"/>
      <c r="U325" s="811"/>
      <c r="V325" s="811"/>
      <c r="W325" s="812"/>
      <c r="X325" s="616"/>
      <c r="Y325" s="280">
        <f>SUM(I324:W325)</f>
        <v>0</v>
      </c>
      <c r="Z325" s="266">
        <v>30</v>
      </c>
      <c r="AA325" s="283">
        <f>IF(z_kateg="высшая",AE325,AF325)</f>
        <v>20</v>
      </c>
      <c r="AE325" s="570">
        <v>20</v>
      </c>
      <c r="AF325" s="571">
        <v>20</v>
      </c>
      <c r="AH325" s="531"/>
    </row>
    <row r="326" spans="1:34" ht="14.25">
      <c r="A326" s="792" t="s">
        <v>204</v>
      </c>
      <c r="B326" s="795" t="s">
        <v>205</v>
      </c>
      <c r="C326" s="796"/>
      <c r="D326" s="796"/>
      <c r="E326" s="831"/>
      <c r="F326" s="799" t="s">
        <v>216</v>
      </c>
      <c r="G326" s="800"/>
      <c r="H326" s="800"/>
      <c r="I326" s="800"/>
      <c r="J326" s="800"/>
      <c r="K326" s="800"/>
      <c r="L326" s="800"/>
      <c r="M326" s="800"/>
      <c r="N326" s="800"/>
      <c r="O326" s="800"/>
      <c r="P326" s="800"/>
      <c r="Q326" s="800"/>
      <c r="R326" s="800"/>
      <c r="S326" s="800"/>
      <c r="T326" s="800"/>
      <c r="U326" s="800"/>
      <c r="V326" s="800"/>
      <c r="W326" s="801"/>
      <c r="X326" s="616"/>
      <c r="Z326" s="220"/>
      <c r="AA326" s="220"/>
      <c r="AH326" s="531"/>
    </row>
    <row r="327" spans="1:34" ht="14.25" customHeight="1">
      <c r="A327" s="793"/>
      <c r="B327" s="797"/>
      <c r="C327" s="798"/>
      <c r="D327" s="798"/>
      <c r="E327" s="832"/>
      <c r="F327" s="731" t="s">
        <v>211</v>
      </c>
      <c r="G327" s="732"/>
      <c r="H327" s="732"/>
      <c r="I327" s="732"/>
      <c r="J327" s="732"/>
      <c r="K327" s="732"/>
      <c r="L327" s="732"/>
      <c r="M327" s="732"/>
      <c r="N327" s="732"/>
      <c r="O327" s="732"/>
      <c r="P327" s="732"/>
      <c r="Q327" s="732"/>
      <c r="R327" s="732"/>
      <c r="S327" s="732"/>
      <c r="T327" s="732"/>
      <c r="U327" s="732"/>
      <c r="V327" s="732"/>
      <c r="W327" s="733"/>
      <c r="X327" s="616"/>
      <c r="AH327" s="531"/>
    </row>
    <row r="328" spans="1:34" ht="14.25" customHeight="1">
      <c r="A328" s="794"/>
      <c r="B328" s="833"/>
      <c r="C328" s="834"/>
      <c r="D328" s="834"/>
      <c r="E328" s="835"/>
      <c r="F328" s="849">
        <v>0</v>
      </c>
      <c r="G328" s="849"/>
      <c r="H328" s="849"/>
      <c r="I328" s="734">
        <v>10</v>
      </c>
      <c r="J328" s="735"/>
      <c r="K328" s="736"/>
      <c r="L328" s="734">
        <v>10</v>
      </c>
      <c r="M328" s="735"/>
      <c r="N328" s="735"/>
      <c r="O328" s="736"/>
      <c r="P328" s="734">
        <v>20</v>
      </c>
      <c r="Q328" s="735"/>
      <c r="R328" s="735"/>
      <c r="S328" s="736"/>
      <c r="T328" s="734">
        <v>20</v>
      </c>
      <c r="U328" s="735"/>
      <c r="V328" s="735"/>
      <c r="W328" s="736"/>
      <c r="X328" s="616"/>
      <c r="AH328" s="531"/>
    </row>
    <row r="329" spans="1:34" ht="15" customHeight="1">
      <c r="A329" s="777" t="s">
        <v>236</v>
      </c>
      <c r="B329" s="725" t="s">
        <v>433</v>
      </c>
      <c r="C329" s="726"/>
      <c r="D329" s="726"/>
      <c r="E329" s="727"/>
      <c r="F329" s="971" t="s">
        <v>286</v>
      </c>
      <c r="G329" s="971"/>
      <c r="H329" s="971"/>
      <c r="I329" s="968" t="s">
        <v>432</v>
      </c>
      <c r="J329" s="969"/>
      <c r="K329" s="970"/>
      <c r="L329" s="968" t="s">
        <v>545</v>
      </c>
      <c r="M329" s="969"/>
      <c r="N329" s="969"/>
      <c r="O329" s="970"/>
      <c r="P329" s="968" t="s">
        <v>422</v>
      </c>
      <c r="Q329" s="969"/>
      <c r="R329" s="969"/>
      <c r="S329" s="970"/>
      <c r="T329" s="968" t="s">
        <v>421</v>
      </c>
      <c r="U329" s="969"/>
      <c r="V329" s="969"/>
      <c r="W329" s="970"/>
      <c r="X329" s="616"/>
      <c r="AH329" s="531"/>
    </row>
    <row r="330" spans="1:34" ht="15" customHeight="1">
      <c r="A330" s="778"/>
      <c r="B330" s="728"/>
      <c r="C330" s="729"/>
      <c r="D330" s="729"/>
      <c r="E330" s="730"/>
      <c r="F330" s="971"/>
      <c r="G330" s="971"/>
      <c r="H330" s="971"/>
      <c r="I330" s="836"/>
      <c r="J330" s="837"/>
      <c r="K330" s="838"/>
      <c r="L330" s="836"/>
      <c r="M330" s="837"/>
      <c r="N330" s="837"/>
      <c r="O330" s="838"/>
      <c r="P330" s="836"/>
      <c r="Q330" s="837"/>
      <c r="R330" s="837"/>
      <c r="S330" s="838"/>
      <c r="T330" s="836"/>
      <c r="U330" s="837"/>
      <c r="V330" s="837"/>
      <c r="W330" s="838"/>
      <c r="X330" s="616"/>
      <c r="AB330" s="287"/>
      <c r="AC330" s="287"/>
      <c r="AD330" s="287"/>
      <c r="AH330" s="531"/>
    </row>
    <row r="331" spans="1:34" ht="15" customHeight="1">
      <c r="A331" s="778"/>
      <c r="B331" s="728"/>
      <c r="C331" s="729"/>
      <c r="D331" s="729"/>
      <c r="E331" s="730"/>
      <c r="F331" s="971"/>
      <c r="G331" s="971"/>
      <c r="H331" s="971"/>
      <c r="I331" s="839"/>
      <c r="J331" s="840"/>
      <c r="K331" s="841"/>
      <c r="L331" s="836"/>
      <c r="M331" s="837"/>
      <c r="N331" s="837"/>
      <c r="O331" s="838"/>
      <c r="P331" s="836"/>
      <c r="Q331" s="837"/>
      <c r="R331" s="837"/>
      <c r="S331" s="838"/>
      <c r="T331" s="836"/>
      <c r="U331" s="837"/>
      <c r="V331" s="837"/>
      <c r="W331" s="838"/>
      <c r="X331" s="616"/>
      <c r="Z331" s="288"/>
      <c r="AH331" s="531"/>
    </row>
    <row r="332" spans="1:34" ht="14.25" customHeight="1">
      <c r="A332" s="778"/>
      <c r="B332" s="728"/>
      <c r="C332" s="729"/>
      <c r="D332" s="729"/>
      <c r="E332" s="730"/>
      <c r="F332" s="813">
        <f>IF(Y333=0,IF(FIO="","",0),"")</f>
      </c>
      <c r="G332" s="744"/>
      <c r="H332" s="745"/>
      <c r="I332" s="807"/>
      <c r="J332" s="808"/>
      <c r="K332" s="809"/>
      <c r="L332" s="770"/>
      <c r="M332" s="770"/>
      <c r="N332" s="770"/>
      <c r="O332" s="770"/>
      <c r="P332" s="770"/>
      <c r="Q332" s="770"/>
      <c r="R332" s="770"/>
      <c r="S332" s="770"/>
      <c r="T332" s="770"/>
      <c r="U332" s="770"/>
      <c r="V332" s="770"/>
      <c r="W332" s="770"/>
      <c r="X332" s="616"/>
      <c r="Z332" s="264" t="s">
        <v>209</v>
      </c>
      <c r="AA332" s="265" t="s">
        <v>281</v>
      </c>
      <c r="AE332" s="568" t="s">
        <v>4</v>
      </c>
      <c r="AF332" s="569" t="s">
        <v>3</v>
      </c>
      <c r="AH332" s="531"/>
    </row>
    <row r="333" spans="1:34" ht="12.75" customHeight="1">
      <c r="A333" s="779"/>
      <c r="B333" s="764" t="str">
        <f>B301</f>
        <v>(далее – Прил. № 4)</v>
      </c>
      <c r="C333" s="765"/>
      <c r="D333" s="765"/>
      <c r="E333" s="766"/>
      <c r="F333" s="740"/>
      <c r="G333" s="741"/>
      <c r="H333" s="742"/>
      <c r="I333" s="810"/>
      <c r="J333" s="811"/>
      <c r="K333" s="812"/>
      <c r="L333" s="770"/>
      <c r="M333" s="770"/>
      <c r="N333" s="770"/>
      <c r="O333" s="770"/>
      <c r="P333" s="770"/>
      <c r="Q333" s="770"/>
      <c r="R333" s="770"/>
      <c r="S333" s="770"/>
      <c r="T333" s="770"/>
      <c r="U333" s="770"/>
      <c r="V333" s="770"/>
      <c r="W333" s="770"/>
      <c r="X333" s="616"/>
      <c r="Y333" s="280">
        <f>SUM(I332:W333)</f>
        <v>0</v>
      </c>
      <c r="Z333" s="266">
        <v>60</v>
      </c>
      <c r="AA333" s="283">
        <f>IF(z_kateg="высшая",AE333,AF333)</f>
        <v>0</v>
      </c>
      <c r="AE333" s="570">
        <v>0</v>
      </c>
      <c r="AF333" s="571">
        <v>0</v>
      </c>
      <c r="AH333" s="531"/>
    </row>
    <row r="334" spans="1:34" ht="14.25">
      <c r="A334" s="792" t="s">
        <v>204</v>
      </c>
      <c r="B334" s="795" t="s">
        <v>205</v>
      </c>
      <c r="C334" s="796"/>
      <c r="D334" s="796"/>
      <c r="E334" s="796"/>
      <c r="F334" s="796"/>
      <c r="G334" s="796"/>
      <c r="H334" s="831"/>
      <c r="I334" s="799" t="s">
        <v>206</v>
      </c>
      <c r="J334" s="800"/>
      <c r="K334" s="800"/>
      <c r="L334" s="800"/>
      <c r="M334" s="800"/>
      <c r="N334" s="800"/>
      <c r="O334" s="800"/>
      <c r="P334" s="800"/>
      <c r="Q334" s="800"/>
      <c r="R334" s="800"/>
      <c r="S334" s="800"/>
      <c r="T334" s="800"/>
      <c r="U334" s="800"/>
      <c r="V334" s="800"/>
      <c r="W334" s="801"/>
      <c r="X334" s="616"/>
      <c r="Y334" s="14"/>
      <c r="AA334" s="14"/>
      <c r="AC334" s="14"/>
      <c r="AE334" s="329"/>
      <c r="AH334" s="531"/>
    </row>
    <row r="335" spans="1:34" ht="14.25" customHeight="1">
      <c r="A335" s="793"/>
      <c r="B335" s="797"/>
      <c r="C335" s="798"/>
      <c r="D335" s="798"/>
      <c r="E335" s="798"/>
      <c r="F335" s="798"/>
      <c r="G335" s="798"/>
      <c r="H335" s="832"/>
      <c r="I335" s="731" t="s">
        <v>211</v>
      </c>
      <c r="J335" s="732"/>
      <c r="K335" s="732"/>
      <c r="L335" s="732"/>
      <c r="M335" s="732"/>
      <c r="N335" s="732"/>
      <c r="O335" s="732"/>
      <c r="P335" s="732"/>
      <c r="Q335" s="732"/>
      <c r="R335" s="732"/>
      <c r="S335" s="732"/>
      <c r="T335" s="732"/>
      <c r="U335" s="732"/>
      <c r="V335" s="732"/>
      <c r="W335" s="733"/>
      <c r="X335" s="616"/>
      <c r="Y335" s="14"/>
      <c r="Z335" s="14"/>
      <c r="AA335" s="14"/>
      <c r="AB335" s="14"/>
      <c r="AC335" s="14"/>
      <c r="AD335" s="14"/>
      <c r="AE335" s="329"/>
      <c r="AH335" s="531"/>
    </row>
    <row r="336" spans="1:34" ht="14.25" customHeight="1">
      <c r="A336" s="794"/>
      <c r="B336" s="797"/>
      <c r="C336" s="798"/>
      <c r="D336" s="798"/>
      <c r="E336" s="798"/>
      <c r="F336" s="798"/>
      <c r="G336" s="798"/>
      <c r="H336" s="832"/>
      <c r="I336" s="734">
        <v>0</v>
      </c>
      <c r="J336" s="735"/>
      <c r="K336" s="736"/>
      <c r="L336" s="734" t="s">
        <v>268</v>
      </c>
      <c r="M336" s="735"/>
      <c r="N336" s="735"/>
      <c r="O336" s="736"/>
      <c r="P336" s="734" t="s">
        <v>271</v>
      </c>
      <c r="Q336" s="735"/>
      <c r="R336" s="735"/>
      <c r="S336" s="736"/>
      <c r="T336" s="734" t="s">
        <v>434</v>
      </c>
      <c r="U336" s="735"/>
      <c r="V336" s="735"/>
      <c r="W336" s="736"/>
      <c r="X336" s="616"/>
      <c r="Y336" s="14"/>
      <c r="Z336" s="14"/>
      <c r="AA336" s="14"/>
      <c r="AB336" s="14"/>
      <c r="AC336" s="14"/>
      <c r="AD336" s="14"/>
      <c r="AE336" s="329"/>
      <c r="AH336" s="531"/>
    </row>
    <row r="337" spans="1:34" ht="12.75" customHeight="1">
      <c r="A337" s="777" t="s">
        <v>237</v>
      </c>
      <c r="B337" s="725" t="s">
        <v>582</v>
      </c>
      <c r="C337" s="726"/>
      <c r="D337" s="726"/>
      <c r="E337" s="726"/>
      <c r="F337" s="726"/>
      <c r="G337" s="726"/>
      <c r="H337" s="727"/>
      <c r="I337" s="743" t="s">
        <v>212</v>
      </c>
      <c r="J337" s="756"/>
      <c r="K337" s="757"/>
      <c r="L337" s="968" t="s">
        <v>545</v>
      </c>
      <c r="M337" s="969"/>
      <c r="N337" s="969"/>
      <c r="O337" s="970"/>
      <c r="P337" s="968" t="s">
        <v>422</v>
      </c>
      <c r="Q337" s="969"/>
      <c r="R337" s="969"/>
      <c r="S337" s="970"/>
      <c r="T337" s="968" t="s">
        <v>431</v>
      </c>
      <c r="U337" s="969"/>
      <c r="V337" s="969"/>
      <c r="W337" s="970"/>
      <c r="X337" s="616"/>
      <c r="Y337" s="14"/>
      <c r="AA337" s="14"/>
      <c r="AB337" s="14"/>
      <c r="AC337" s="14"/>
      <c r="AH337" s="531"/>
    </row>
    <row r="338" spans="1:34" ht="12.75" customHeight="1">
      <c r="A338" s="778"/>
      <c r="B338" s="728"/>
      <c r="C338" s="729"/>
      <c r="D338" s="729"/>
      <c r="E338" s="729"/>
      <c r="F338" s="729"/>
      <c r="G338" s="729"/>
      <c r="H338" s="730"/>
      <c r="I338" s="758"/>
      <c r="J338" s="759"/>
      <c r="K338" s="760"/>
      <c r="L338" s="836"/>
      <c r="M338" s="837"/>
      <c r="N338" s="837"/>
      <c r="O338" s="838"/>
      <c r="P338" s="836"/>
      <c r="Q338" s="837"/>
      <c r="R338" s="837"/>
      <c r="S338" s="838"/>
      <c r="T338" s="836"/>
      <c r="U338" s="837"/>
      <c r="V338" s="837"/>
      <c r="W338" s="838"/>
      <c r="X338" s="616"/>
      <c r="Y338" s="14"/>
      <c r="AA338" s="14"/>
      <c r="AB338" s="14"/>
      <c r="AC338" s="14"/>
      <c r="AH338" s="531"/>
    </row>
    <row r="339" spans="1:34" ht="2.25" customHeight="1">
      <c r="A339" s="778"/>
      <c r="B339" s="728"/>
      <c r="C339" s="729"/>
      <c r="D339" s="729"/>
      <c r="E339" s="729"/>
      <c r="F339" s="729"/>
      <c r="G339" s="729"/>
      <c r="H339" s="730"/>
      <c r="I339" s="758"/>
      <c r="J339" s="759"/>
      <c r="K339" s="760"/>
      <c r="L339" s="836"/>
      <c r="M339" s="837"/>
      <c r="N339" s="837"/>
      <c r="O339" s="838"/>
      <c r="P339" s="836"/>
      <c r="Q339" s="837"/>
      <c r="R339" s="837"/>
      <c r="S339" s="838"/>
      <c r="T339" s="836"/>
      <c r="U339" s="837"/>
      <c r="V339" s="837"/>
      <c r="W339" s="838"/>
      <c r="X339" s="616"/>
      <c r="Y339" s="14"/>
      <c r="AA339" s="14"/>
      <c r="AB339" s="14"/>
      <c r="AC339" s="14"/>
      <c r="AH339" s="531"/>
    </row>
    <row r="340" spans="1:34" ht="12.75" customHeight="1">
      <c r="A340" s="778"/>
      <c r="B340" s="728"/>
      <c r="C340" s="729"/>
      <c r="D340" s="729"/>
      <c r="E340" s="729"/>
      <c r="F340" s="729"/>
      <c r="G340" s="729"/>
      <c r="H340" s="730"/>
      <c r="I340" s="842"/>
      <c r="J340" s="843"/>
      <c r="K340" s="844"/>
      <c r="L340" s="781" t="s">
        <v>316</v>
      </c>
      <c r="M340" s="782"/>
      <c r="N340" s="782"/>
      <c r="O340" s="783"/>
      <c r="P340" s="781" t="s">
        <v>447</v>
      </c>
      <c r="Q340" s="782"/>
      <c r="R340" s="782"/>
      <c r="S340" s="783"/>
      <c r="T340" s="781" t="s">
        <v>448</v>
      </c>
      <c r="U340" s="782"/>
      <c r="V340" s="782"/>
      <c r="W340" s="783"/>
      <c r="X340" s="616"/>
      <c r="Y340" s="14"/>
      <c r="AH340" s="531"/>
    </row>
    <row r="341" spans="1:34" ht="12.75" customHeight="1">
      <c r="A341" s="778"/>
      <c r="B341" s="728"/>
      <c r="C341" s="729"/>
      <c r="D341" s="729"/>
      <c r="E341" s="729"/>
      <c r="F341" s="729"/>
      <c r="G341" s="729"/>
      <c r="H341" s="730"/>
      <c r="I341" s="842"/>
      <c r="J341" s="843"/>
      <c r="K341" s="844"/>
      <c r="L341" s="781"/>
      <c r="M341" s="782"/>
      <c r="N341" s="782"/>
      <c r="O341" s="783"/>
      <c r="P341" s="781"/>
      <c r="Q341" s="782"/>
      <c r="R341" s="782"/>
      <c r="S341" s="783"/>
      <c r="T341" s="781"/>
      <c r="U341" s="782"/>
      <c r="V341" s="782"/>
      <c r="W341" s="783"/>
      <c r="X341" s="616"/>
      <c r="Y341" s="14"/>
      <c r="AH341" s="531"/>
    </row>
    <row r="342" spans="1:34" ht="15" customHeight="1">
      <c r="A342" s="778"/>
      <c r="B342" s="728"/>
      <c r="C342" s="729"/>
      <c r="D342" s="729"/>
      <c r="E342" s="729"/>
      <c r="F342" s="729"/>
      <c r="G342" s="729"/>
      <c r="H342" s="730"/>
      <c r="I342" s="972"/>
      <c r="J342" s="973"/>
      <c r="K342" s="974"/>
      <c r="L342" s="972" t="s">
        <v>293</v>
      </c>
      <c r="M342" s="973"/>
      <c r="N342" s="973"/>
      <c r="O342" s="973"/>
      <c r="P342" s="972" t="s">
        <v>285</v>
      </c>
      <c r="Q342" s="973"/>
      <c r="R342" s="973"/>
      <c r="S342" s="974"/>
      <c r="T342" s="972" t="s">
        <v>429</v>
      </c>
      <c r="U342" s="973"/>
      <c r="V342" s="973"/>
      <c r="W342" s="974"/>
      <c r="X342" s="616"/>
      <c r="Y342" s="14"/>
      <c r="AH342" s="531"/>
    </row>
    <row r="343" spans="1:34" ht="12.75" customHeight="1">
      <c r="A343" s="778"/>
      <c r="B343" s="761" t="str">
        <f>B301</f>
        <v>(далее – Прил. № 4)</v>
      </c>
      <c r="C343" s="762"/>
      <c r="D343" s="762"/>
      <c r="E343" s="762"/>
      <c r="F343" s="762"/>
      <c r="G343" s="762"/>
      <c r="H343" s="763"/>
      <c r="I343" s="813">
        <f>IF(SUM(L343:W344)=0,IF(FIO="","",0),"")</f>
      </c>
      <c r="J343" s="850"/>
      <c r="K343" s="851"/>
      <c r="L343" s="770"/>
      <c r="M343" s="770"/>
      <c r="N343" s="770"/>
      <c r="O343" s="770"/>
      <c r="P343" s="770"/>
      <c r="Q343" s="770"/>
      <c r="R343" s="770"/>
      <c r="S343" s="770"/>
      <c r="T343" s="770"/>
      <c r="U343" s="770"/>
      <c r="V343" s="770"/>
      <c r="W343" s="770"/>
      <c r="X343" s="616"/>
      <c r="Z343" s="264" t="s">
        <v>209</v>
      </c>
      <c r="AA343" s="265" t="s">
        <v>281</v>
      </c>
      <c r="AE343" s="568" t="s">
        <v>4</v>
      </c>
      <c r="AF343" s="569" t="s">
        <v>3</v>
      </c>
      <c r="AH343" s="531"/>
    </row>
    <row r="344" spans="1:34" ht="12.75" customHeight="1">
      <c r="A344" s="779"/>
      <c r="B344" s="764"/>
      <c r="C344" s="765"/>
      <c r="D344" s="765"/>
      <c r="E344" s="765"/>
      <c r="F344" s="765"/>
      <c r="G344" s="765"/>
      <c r="H344" s="766"/>
      <c r="I344" s="852"/>
      <c r="J344" s="853"/>
      <c r="K344" s="854"/>
      <c r="L344" s="770"/>
      <c r="M344" s="770"/>
      <c r="N344" s="770"/>
      <c r="O344" s="770"/>
      <c r="P344" s="770"/>
      <c r="Q344" s="770"/>
      <c r="R344" s="770"/>
      <c r="S344" s="770"/>
      <c r="T344" s="770"/>
      <c r="U344" s="770"/>
      <c r="V344" s="770"/>
      <c r="W344" s="770"/>
      <c r="X344" s="616"/>
      <c r="Y344" s="280">
        <f>SUM(L343:W344)</f>
        <v>0</v>
      </c>
      <c r="Z344" s="266">
        <v>110</v>
      </c>
      <c r="AA344" s="283">
        <f>IF(z_kateg="высшая",AE344,AF344)</f>
        <v>10</v>
      </c>
      <c r="AE344" s="570">
        <v>20</v>
      </c>
      <c r="AF344" s="571">
        <v>10</v>
      </c>
      <c r="AH344" s="531"/>
    </row>
    <row r="345" spans="1:34" ht="14.25">
      <c r="A345" s="792" t="s">
        <v>204</v>
      </c>
      <c r="B345" s="795" t="s">
        <v>205</v>
      </c>
      <c r="C345" s="796"/>
      <c r="D345" s="796"/>
      <c r="E345" s="796"/>
      <c r="F345" s="796"/>
      <c r="G345" s="796"/>
      <c r="H345" s="796"/>
      <c r="I345" s="799" t="s">
        <v>206</v>
      </c>
      <c r="J345" s="800"/>
      <c r="K345" s="800"/>
      <c r="L345" s="800"/>
      <c r="M345" s="800"/>
      <c r="N345" s="800"/>
      <c r="O345" s="800"/>
      <c r="P345" s="800"/>
      <c r="Q345" s="800"/>
      <c r="R345" s="800"/>
      <c r="S345" s="800"/>
      <c r="T345" s="800"/>
      <c r="U345" s="800"/>
      <c r="V345" s="800"/>
      <c r="W345" s="801"/>
      <c r="X345" s="616"/>
      <c r="AA345" s="1014"/>
      <c r="AE345" s="975"/>
      <c r="AF345" s="975"/>
      <c r="AH345" s="531"/>
    </row>
    <row r="346" spans="1:34" ht="14.25" customHeight="1">
      <c r="A346" s="793"/>
      <c r="B346" s="797"/>
      <c r="C346" s="798"/>
      <c r="D346" s="798"/>
      <c r="E346" s="798"/>
      <c r="F346" s="798"/>
      <c r="G346" s="798"/>
      <c r="H346" s="798"/>
      <c r="I346" s="731" t="s">
        <v>207</v>
      </c>
      <c r="J346" s="732"/>
      <c r="K346" s="732"/>
      <c r="L346" s="732"/>
      <c r="M346" s="732"/>
      <c r="N346" s="732"/>
      <c r="O346" s="732"/>
      <c r="P346" s="732"/>
      <c r="Q346" s="732"/>
      <c r="R346" s="732"/>
      <c r="S346" s="732"/>
      <c r="T346" s="732"/>
      <c r="U346" s="732"/>
      <c r="V346" s="732"/>
      <c r="W346" s="733"/>
      <c r="X346" s="616"/>
      <c r="AA346" s="1014"/>
      <c r="AE346" s="975"/>
      <c r="AF346" s="975"/>
      <c r="AH346" s="531"/>
    </row>
    <row r="347" spans="1:34" ht="14.25" customHeight="1">
      <c r="A347" s="794"/>
      <c r="B347" s="833"/>
      <c r="C347" s="834"/>
      <c r="D347" s="834"/>
      <c r="E347" s="834"/>
      <c r="F347" s="834"/>
      <c r="G347" s="834"/>
      <c r="H347" s="834"/>
      <c r="I347" s="849">
        <v>0</v>
      </c>
      <c r="J347" s="849"/>
      <c r="K347" s="849"/>
      <c r="L347" s="849"/>
      <c r="M347" s="849"/>
      <c r="N347" s="849" t="s">
        <v>268</v>
      </c>
      <c r="O347" s="849"/>
      <c r="P347" s="849"/>
      <c r="Q347" s="849"/>
      <c r="R347" s="849"/>
      <c r="S347" s="849" t="s">
        <v>214</v>
      </c>
      <c r="T347" s="849"/>
      <c r="U347" s="849"/>
      <c r="V347" s="849"/>
      <c r="W347" s="849"/>
      <c r="X347" s="616"/>
      <c r="AA347" s="1014"/>
      <c r="AE347" s="975"/>
      <c r="AF347" s="975"/>
      <c r="AH347" s="531"/>
    </row>
    <row r="348" spans="1:34" ht="12.75" customHeight="1">
      <c r="A348" s="777" t="s">
        <v>238</v>
      </c>
      <c r="B348" s="725" t="s">
        <v>583</v>
      </c>
      <c r="C348" s="726"/>
      <c r="D348" s="726"/>
      <c r="E348" s="726"/>
      <c r="F348" s="726"/>
      <c r="G348" s="726"/>
      <c r="H348" s="727"/>
      <c r="I348" s="743" t="s">
        <v>239</v>
      </c>
      <c r="J348" s="756"/>
      <c r="K348" s="756"/>
      <c r="L348" s="756"/>
      <c r="M348" s="757"/>
      <c r="N348" s="968" t="s">
        <v>435</v>
      </c>
      <c r="O348" s="969"/>
      <c r="P348" s="969"/>
      <c r="Q348" s="969"/>
      <c r="R348" s="970"/>
      <c r="S348" s="968" t="s">
        <v>240</v>
      </c>
      <c r="T348" s="969"/>
      <c r="U348" s="969"/>
      <c r="V348" s="969"/>
      <c r="W348" s="970"/>
      <c r="X348" s="616"/>
      <c r="AA348" s="1014"/>
      <c r="AE348" s="975"/>
      <c r="AF348" s="975"/>
      <c r="AH348" s="531"/>
    </row>
    <row r="349" spans="1:34" ht="27" customHeight="1">
      <c r="A349" s="778"/>
      <c r="B349" s="728"/>
      <c r="C349" s="729"/>
      <c r="D349" s="729"/>
      <c r="E349" s="729"/>
      <c r="F349" s="729"/>
      <c r="G349" s="729"/>
      <c r="H349" s="730"/>
      <c r="I349" s="758"/>
      <c r="J349" s="759"/>
      <c r="K349" s="759"/>
      <c r="L349" s="759"/>
      <c r="M349" s="760"/>
      <c r="N349" s="836"/>
      <c r="O349" s="837"/>
      <c r="P349" s="837"/>
      <c r="Q349" s="837"/>
      <c r="R349" s="838"/>
      <c r="S349" s="836"/>
      <c r="T349" s="837"/>
      <c r="U349" s="837"/>
      <c r="V349" s="837"/>
      <c r="W349" s="838"/>
      <c r="X349" s="616"/>
      <c r="AA349" s="1014"/>
      <c r="AE349" s="975"/>
      <c r="AF349" s="975"/>
      <c r="AH349" s="531"/>
    </row>
    <row r="350" spans="1:34" ht="12.75" customHeight="1">
      <c r="A350" s="778"/>
      <c r="B350" s="728"/>
      <c r="C350" s="729"/>
      <c r="D350" s="729"/>
      <c r="E350" s="729"/>
      <c r="F350" s="729"/>
      <c r="G350" s="729"/>
      <c r="H350" s="730"/>
      <c r="I350" s="836"/>
      <c r="J350" s="837"/>
      <c r="K350" s="837"/>
      <c r="L350" s="837"/>
      <c r="M350" s="838"/>
      <c r="N350" s="842" t="s">
        <v>303</v>
      </c>
      <c r="O350" s="843"/>
      <c r="P350" s="843"/>
      <c r="Q350" s="843"/>
      <c r="R350" s="844"/>
      <c r="S350" s="842" t="s">
        <v>305</v>
      </c>
      <c r="T350" s="843"/>
      <c r="U350" s="843"/>
      <c r="V350" s="843"/>
      <c r="W350" s="844"/>
      <c r="X350" s="616"/>
      <c r="AA350" s="1014"/>
      <c r="AE350" s="975"/>
      <c r="AF350" s="975"/>
      <c r="AH350" s="531"/>
    </row>
    <row r="351" spans="1:34" ht="15.75" customHeight="1">
      <c r="A351" s="778"/>
      <c r="B351" s="728"/>
      <c r="C351" s="729"/>
      <c r="D351" s="729"/>
      <c r="E351" s="729"/>
      <c r="F351" s="729"/>
      <c r="G351" s="729"/>
      <c r="H351" s="730"/>
      <c r="I351" s="839"/>
      <c r="J351" s="840"/>
      <c r="K351" s="840"/>
      <c r="L351" s="840"/>
      <c r="M351" s="841"/>
      <c r="N351" s="972" t="s">
        <v>304</v>
      </c>
      <c r="O351" s="973"/>
      <c r="P351" s="973"/>
      <c r="Q351" s="973"/>
      <c r="R351" s="974"/>
      <c r="S351" s="972" t="s">
        <v>285</v>
      </c>
      <c r="T351" s="973"/>
      <c r="U351" s="973"/>
      <c r="V351" s="973"/>
      <c r="W351" s="974"/>
      <c r="X351" s="616"/>
      <c r="Y351" s="14"/>
      <c r="Z351" s="256"/>
      <c r="AA351" s="1014"/>
      <c r="AB351" s="292"/>
      <c r="AC351" s="14"/>
      <c r="AD351" s="14"/>
      <c r="AE351" s="975"/>
      <c r="AF351" s="975"/>
      <c r="AH351" s="531"/>
    </row>
    <row r="352" spans="1:34" ht="12.75" customHeight="1">
      <c r="A352" s="778"/>
      <c r="B352" s="761" t="str">
        <f>B301</f>
        <v>(далее – Прил. № 4)</v>
      </c>
      <c r="C352" s="762"/>
      <c r="D352" s="762"/>
      <c r="E352" s="762"/>
      <c r="F352" s="762"/>
      <c r="G352" s="762"/>
      <c r="H352" s="763"/>
      <c r="I352" s="817">
        <f>IF(SUM(N352:W353)=0,IF(FIO="","",0),"")</f>
      </c>
      <c r="J352" s="817"/>
      <c r="K352" s="817"/>
      <c r="L352" s="817"/>
      <c r="M352" s="817"/>
      <c r="N352" s="770"/>
      <c r="O352" s="770"/>
      <c r="P352" s="770"/>
      <c r="Q352" s="770"/>
      <c r="R352" s="770"/>
      <c r="S352" s="770"/>
      <c r="T352" s="770"/>
      <c r="U352" s="770"/>
      <c r="V352" s="770"/>
      <c r="W352" s="770"/>
      <c r="X352" s="616"/>
      <c r="Z352" s="264" t="s">
        <v>209</v>
      </c>
      <c r="AA352" s="1014"/>
      <c r="AE352" s="975"/>
      <c r="AF352" s="975"/>
      <c r="AH352" s="531"/>
    </row>
    <row r="353" spans="1:34" ht="12.75" customHeight="1">
      <c r="A353" s="779"/>
      <c r="B353" s="764"/>
      <c r="C353" s="765"/>
      <c r="D353" s="765"/>
      <c r="E353" s="765"/>
      <c r="F353" s="765"/>
      <c r="G353" s="765"/>
      <c r="H353" s="766"/>
      <c r="I353" s="817"/>
      <c r="J353" s="817"/>
      <c r="K353" s="817"/>
      <c r="L353" s="817"/>
      <c r="M353" s="817"/>
      <c r="N353" s="770"/>
      <c r="O353" s="770"/>
      <c r="P353" s="770"/>
      <c r="Q353" s="770"/>
      <c r="R353" s="770"/>
      <c r="S353" s="770"/>
      <c r="T353" s="770"/>
      <c r="U353" s="770"/>
      <c r="V353" s="770"/>
      <c r="W353" s="770"/>
      <c r="X353" s="616"/>
      <c r="Y353" s="280">
        <f>MAX(N352:W353)</f>
        <v>0</v>
      </c>
      <c r="Z353" s="266">
        <v>40</v>
      </c>
      <c r="AA353" s="1014"/>
      <c r="AE353" s="975"/>
      <c r="AF353" s="975"/>
      <c r="AH353" s="531"/>
    </row>
    <row r="354" spans="1:34" ht="14.25">
      <c r="A354" s="792" t="s">
        <v>204</v>
      </c>
      <c r="B354" s="795" t="s">
        <v>205</v>
      </c>
      <c r="C354" s="796"/>
      <c r="D354" s="796"/>
      <c r="E354" s="796"/>
      <c r="F354" s="796"/>
      <c r="G354" s="796"/>
      <c r="H354" s="796"/>
      <c r="I354" s="799" t="s">
        <v>206</v>
      </c>
      <c r="J354" s="800"/>
      <c r="K354" s="800"/>
      <c r="L354" s="800"/>
      <c r="M354" s="800"/>
      <c r="N354" s="800"/>
      <c r="O354" s="800"/>
      <c r="P354" s="800"/>
      <c r="Q354" s="800"/>
      <c r="R354" s="800"/>
      <c r="S354" s="800"/>
      <c r="T354" s="800"/>
      <c r="U354" s="800"/>
      <c r="V354" s="800"/>
      <c r="W354" s="801"/>
      <c r="X354" s="616"/>
      <c r="AA354" s="1014"/>
      <c r="AE354" s="975"/>
      <c r="AF354" s="975"/>
      <c r="AH354" s="531"/>
    </row>
    <row r="355" spans="1:34" ht="14.25" customHeight="1">
      <c r="A355" s="793"/>
      <c r="B355" s="797"/>
      <c r="C355" s="798"/>
      <c r="D355" s="798"/>
      <c r="E355" s="798"/>
      <c r="F355" s="798"/>
      <c r="G355" s="798"/>
      <c r="H355" s="798"/>
      <c r="I355" s="731" t="s">
        <v>211</v>
      </c>
      <c r="J355" s="732"/>
      <c r="K355" s="732"/>
      <c r="L355" s="732"/>
      <c r="M355" s="732"/>
      <c r="N355" s="732"/>
      <c r="O355" s="732"/>
      <c r="P355" s="732"/>
      <c r="Q355" s="732"/>
      <c r="R355" s="732"/>
      <c r="S355" s="732"/>
      <c r="T355" s="732"/>
      <c r="U355" s="732"/>
      <c r="V355" s="732"/>
      <c r="W355" s="733"/>
      <c r="X355" s="616"/>
      <c r="AA355" s="1014"/>
      <c r="AE355" s="975"/>
      <c r="AF355" s="975"/>
      <c r="AH355" s="531"/>
    </row>
    <row r="356" spans="1:34" ht="14.25" customHeight="1">
      <c r="A356" s="794"/>
      <c r="B356" s="833"/>
      <c r="C356" s="834"/>
      <c r="D356" s="834"/>
      <c r="E356" s="834"/>
      <c r="F356" s="834"/>
      <c r="G356" s="834"/>
      <c r="H356" s="834"/>
      <c r="I356" s="849">
        <v>0</v>
      </c>
      <c r="J356" s="849"/>
      <c r="K356" s="849"/>
      <c r="L356" s="849"/>
      <c r="M356" s="849"/>
      <c r="N356" s="849" t="s">
        <v>213</v>
      </c>
      <c r="O356" s="849"/>
      <c r="P356" s="849"/>
      <c r="Q356" s="849"/>
      <c r="R356" s="849"/>
      <c r="S356" s="849" t="s">
        <v>608</v>
      </c>
      <c r="T356" s="849"/>
      <c r="U356" s="849"/>
      <c r="V356" s="849"/>
      <c r="W356" s="849"/>
      <c r="X356" s="616"/>
      <c r="AA356" s="1014"/>
      <c r="AE356" s="975"/>
      <c r="AF356" s="975"/>
      <c r="AH356" s="531"/>
    </row>
    <row r="357" spans="1:34" ht="12.75" customHeight="1">
      <c r="A357" s="777" t="s">
        <v>241</v>
      </c>
      <c r="B357" s="725" t="s">
        <v>601</v>
      </c>
      <c r="C357" s="726"/>
      <c r="D357" s="726"/>
      <c r="E357" s="726"/>
      <c r="F357" s="726"/>
      <c r="G357" s="726"/>
      <c r="H357" s="727"/>
      <c r="I357" s="743" t="s">
        <v>455</v>
      </c>
      <c r="J357" s="756"/>
      <c r="K357" s="756"/>
      <c r="L357" s="756"/>
      <c r="M357" s="757"/>
      <c r="N357" s="968" t="s">
        <v>441</v>
      </c>
      <c r="O357" s="969"/>
      <c r="P357" s="969"/>
      <c r="Q357" s="969"/>
      <c r="R357" s="970"/>
      <c r="S357" s="968" t="s">
        <v>602</v>
      </c>
      <c r="T357" s="969"/>
      <c r="U357" s="969"/>
      <c r="V357" s="969"/>
      <c r="W357" s="970"/>
      <c r="X357" s="616"/>
      <c r="AA357" s="1014"/>
      <c r="AE357" s="975"/>
      <c r="AF357" s="975"/>
      <c r="AH357" s="388"/>
    </row>
    <row r="358" spans="1:34" ht="18.75" customHeight="1">
      <c r="A358" s="778"/>
      <c r="B358" s="728"/>
      <c r="C358" s="729"/>
      <c r="D358" s="729"/>
      <c r="E358" s="729"/>
      <c r="F358" s="729"/>
      <c r="G358" s="729"/>
      <c r="H358" s="730"/>
      <c r="I358" s="758"/>
      <c r="J358" s="759"/>
      <c r="K358" s="759"/>
      <c r="L358" s="759"/>
      <c r="M358" s="760"/>
      <c r="N358" s="836"/>
      <c r="O358" s="837"/>
      <c r="P358" s="837"/>
      <c r="Q358" s="837"/>
      <c r="R358" s="838"/>
      <c r="S358" s="836"/>
      <c r="T358" s="837"/>
      <c r="U358" s="837"/>
      <c r="V358" s="837"/>
      <c r="W358" s="838"/>
      <c r="X358" s="616"/>
      <c r="AA358" s="1014"/>
      <c r="AE358" s="975"/>
      <c r="AF358" s="975"/>
      <c r="AH358" s="388"/>
    </row>
    <row r="359" spans="1:34" ht="12.75">
      <c r="A359" s="778"/>
      <c r="B359" s="1093" t="s">
        <v>317</v>
      </c>
      <c r="C359" s="1094"/>
      <c r="D359" s="1094"/>
      <c r="E359" s="1094"/>
      <c r="F359" s="1094"/>
      <c r="G359" s="1094"/>
      <c r="H359" s="1095"/>
      <c r="I359" s="758"/>
      <c r="J359" s="759"/>
      <c r="K359" s="759"/>
      <c r="L359" s="759"/>
      <c r="M359" s="760"/>
      <c r="N359" s="836"/>
      <c r="O359" s="837"/>
      <c r="P359" s="837"/>
      <c r="Q359" s="837"/>
      <c r="R359" s="838"/>
      <c r="S359" s="836"/>
      <c r="T359" s="837"/>
      <c r="U359" s="837"/>
      <c r="V359" s="837"/>
      <c r="W359" s="838"/>
      <c r="X359" s="616"/>
      <c r="AA359" s="1014"/>
      <c r="AE359" s="975"/>
      <c r="AF359" s="975"/>
      <c r="AH359" s="388"/>
    </row>
    <row r="360" spans="1:34" ht="12.75">
      <c r="A360" s="778"/>
      <c r="B360" s="761" t="s">
        <v>603</v>
      </c>
      <c r="C360" s="762"/>
      <c r="D360" s="762"/>
      <c r="E360" s="762"/>
      <c r="F360" s="762"/>
      <c r="G360" s="762"/>
      <c r="H360" s="763"/>
      <c r="I360" s="610"/>
      <c r="J360" s="611"/>
      <c r="K360" s="611"/>
      <c r="L360" s="611"/>
      <c r="M360" s="612"/>
      <c r="N360" s="613"/>
      <c r="O360" s="614"/>
      <c r="P360" s="614"/>
      <c r="Q360" s="614"/>
      <c r="R360" s="615"/>
      <c r="S360" s="836"/>
      <c r="T360" s="837"/>
      <c r="U360" s="837"/>
      <c r="V360" s="837"/>
      <c r="W360" s="838"/>
      <c r="X360" s="616"/>
      <c r="AA360" s="1014"/>
      <c r="AE360" s="975"/>
      <c r="AF360" s="975"/>
      <c r="AH360" s="388"/>
    </row>
    <row r="361" spans="1:34" ht="12.75" customHeight="1">
      <c r="A361" s="778"/>
      <c r="B361" s="761"/>
      <c r="C361" s="762"/>
      <c r="D361" s="762"/>
      <c r="E361" s="762"/>
      <c r="F361" s="762"/>
      <c r="G361" s="762"/>
      <c r="H361" s="763"/>
      <c r="I361" s="836"/>
      <c r="J361" s="837"/>
      <c r="K361" s="837"/>
      <c r="L361" s="837"/>
      <c r="M361" s="838"/>
      <c r="N361" s="842" t="s">
        <v>438</v>
      </c>
      <c r="O361" s="843"/>
      <c r="P361" s="843"/>
      <c r="Q361" s="843"/>
      <c r="R361" s="844"/>
      <c r="S361" s="842" t="s">
        <v>439</v>
      </c>
      <c r="T361" s="843"/>
      <c r="U361" s="843"/>
      <c r="V361" s="843"/>
      <c r="W361" s="844"/>
      <c r="X361" s="616"/>
      <c r="AA361" s="1014"/>
      <c r="AE361" s="975"/>
      <c r="AF361" s="975"/>
      <c r="AH361" s="388"/>
    </row>
    <row r="362" spans="1:34" ht="12.75" customHeight="1">
      <c r="A362" s="778"/>
      <c r="B362" s="761"/>
      <c r="C362" s="762"/>
      <c r="D362" s="762"/>
      <c r="E362" s="762"/>
      <c r="F362" s="762"/>
      <c r="G362" s="762"/>
      <c r="H362" s="763"/>
      <c r="I362" s="836"/>
      <c r="J362" s="837"/>
      <c r="K362" s="837"/>
      <c r="L362" s="837"/>
      <c r="M362" s="838"/>
      <c r="N362" s="842" t="s">
        <v>437</v>
      </c>
      <c r="O362" s="843"/>
      <c r="P362" s="843"/>
      <c r="Q362" s="843"/>
      <c r="R362" s="844"/>
      <c r="S362" s="842" t="s">
        <v>440</v>
      </c>
      <c r="T362" s="843"/>
      <c r="U362" s="843"/>
      <c r="V362" s="843"/>
      <c r="W362" s="844"/>
      <c r="X362" s="616"/>
      <c r="AA362" s="1014"/>
      <c r="AE362" s="975"/>
      <c r="AF362" s="975"/>
      <c r="AH362" s="388"/>
    </row>
    <row r="363" spans="1:34" ht="20.25" customHeight="1">
      <c r="A363" s="778"/>
      <c r="B363" s="761"/>
      <c r="C363" s="762"/>
      <c r="D363" s="762"/>
      <c r="E363" s="762"/>
      <c r="F363" s="762"/>
      <c r="G363" s="762"/>
      <c r="H363" s="763"/>
      <c r="I363" s="839"/>
      <c r="J363" s="840"/>
      <c r="K363" s="840"/>
      <c r="L363" s="840"/>
      <c r="M363" s="841"/>
      <c r="N363" s="1096" t="s">
        <v>436</v>
      </c>
      <c r="O363" s="802"/>
      <c r="P363" s="802"/>
      <c r="Q363" s="802"/>
      <c r="R363" s="803"/>
      <c r="S363" s="1096" t="s">
        <v>436</v>
      </c>
      <c r="T363" s="802"/>
      <c r="U363" s="802"/>
      <c r="V363" s="802"/>
      <c r="W363" s="803"/>
      <c r="X363" s="616"/>
      <c r="Y363" s="14"/>
      <c r="Z363" s="256"/>
      <c r="AA363" s="1014"/>
      <c r="AB363" s="292"/>
      <c r="AC363" s="14"/>
      <c r="AD363" s="14"/>
      <c r="AE363" s="975"/>
      <c r="AF363" s="975"/>
      <c r="AH363" s="388"/>
    </row>
    <row r="364" spans="1:34" ht="12.75">
      <c r="A364" s="778"/>
      <c r="B364" s="761"/>
      <c r="C364" s="762"/>
      <c r="D364" s="762"/>
      <c r="E364" s="762"/>
      <c r="F364" s="762"/>
      <c r="G364" s="762"/>
      <c r="H364" s="763"/>
      <c r="I364" s="817">
        <f>IF(Y365=0,IF(FIO="","",0),"")</f>
      </c>
      <c r="J364" s="817"/>
      <c r="K364" s="817"/>
      <c r="L364" s="817"/>
      <c r="M364" s="817"/>
      <c r="N364" s="770"/>
      <c r="O364" s="770"/>
      <c r="P364" s="770"/>
      <c r="Q364" s="770"/>
      <c r="R364" s="770"/>
      <c r="S364" s="770"/>
      <c r="T364" s="770"/>
      <c r="U364" s="770"/>
      <c r="V364" s="770"/>
      <c r="W364" s="770"/>
      <c r="X364" s="616"/>
      <c r="Z364" s="264" t="s">
        <v>209</v>
      </c>
      <c r="AA364" s="1014"/>
      <c r="AE364" s="975"/>
      <c r="AF364" s="975"/>
      <c r="AH364" s="388"/>
    </row>
    <row r="365" spans="1:34" ht="12.75">
      <c r="A365" s="779"/>
      <c r="B365" s="764"/>
      <c r="C365" s="765"/>
      <c r="D365" s="765"/>
      <c r="E365" s="765"/>
      <c r="F365" s="765"/>
      <c r="G365" s="765"/>
      <c r="H365" s="766"/>
      <c r="I365" s="817"/>
      <c r="J365" s="817"/>
      <c r="K365" s="817"/>
      <c r="L365" s="817"/>
      <c r="M365" s="817"/>
      <c r="N365" s="770"/>
      <c r="O365" s="770"/>
      <c r="P365" s="770"/>
      <c r="Q365" s="770"/>
      <c r="R365" s="770"/>
      <c r="S365" s="770"/>
      <c r="T365" s="770"/>
      <c r="U365" s="770"/>
      <c r="V365" s="770"/>
      <c r="W365" s="770"/>
      <c r="X365" s="616"/>
      <c r="Y365" s="280">
        <f>SUM(N364:W365)</f>
        <v>0</v>
      </c>
      <c r="Z365" s="266">
        <v>100</v>
      </c>
      <c r="AA365" s="1014"/>
      <c r="AE365" s="975"/>
      <c r="AF365" s="975"/>
      <c r="AH365" s="388"/>
    </row>
    <row r="366" spans="24:34" ht="6.75" customHeight="1">
      <c r="X366" s="616"/>
      <c r="AA366" s="213"/>
      <c r="AB366" s="213"/>
      <c r="AC366" s="213"/>
      <c r="AH366" s="531"/>
    </row>
    <row r="367" spans="1:34" ht="14.25">
      <c r="A367" s="276" t="s">
        <v>243</v>
      </c>
      <c r="B367" s="211" t="s">
        <v>244</v>
      </c>
      <c r="X367" s="616"/>
      <c r="AA367" s="213"/>
      <c r="AB367" s="213"/>
      <c r="AC367" s="213"/>
      <c r="AH367" s="531"/>
    </row>
    <row r="368" spans="1:34" ht="12.75" customHeight="1">
      <c r="A368" s="792" t="s">
        <v>204</v>
      </c>
      <c r="B368" s="949" t="s">
        <v>205</v>
      </c>
      <c r="C368" s="949"/>
      <c r="D368" s="949"/>
      <c r="E368" s="949"/>
      <c r="F368" s="799" t="s">
        <v>206</v>
      </c>
      <c r="G368" s="800"/>
      <c r="H368" s="800"/>
      <c r="I368" s="800"/>
      <c r="J368" s="800"/>
      <c r="K368" s="800"/>
      <c r="L368" s="800"/>
      <c r="M368" s="800"/>
      <c r="N368" s="800"/>
      <c r="O368" s="800"/>
      <c r="P368" s="800"/>
      <c r="Q368" s="800"/>
      <c r="R368" s="800"/>
      <c r="S368" s="800"/>
      <c r="T368" s="800"/>
      <c r="U368" s="800"/>
      <c r="V368" s="800"/>
      <c r="W368" s="801"/>
      <c r="X368" s="616"/>
      <c r="AA368" s="213"/>
      <c r="AH368" s="531"/>
    </row>
    <row r="369" spans="1:34" ht="12.75" customHeight="1">
      <c r="A369" s="793"/>
      <c r="B369" s="949"/>
      <c r="C369" s="949"/>
      <c r="D369" s="949"/>
      <c r="E369" s="949"/>
      <c r="F369" s="731" t="s">
        <v>207</v>
      </c>
      <c r="G369" s="732"/>
      <c r="H369" s="732"/>
      <c r="I369" s="732"/>
      <c r="J369" s="732"/>
      <c r="K369" s="732"/>
      <c r="L369" s="732"/>
      <c r="M369" s="732"/>
      <c r="N369" s="732"/>
      <c r="O369" s="732"/>
      <c r="P369" s="732"/>
      <c r="Q369" s="732"/>
      <c r="R369" s="732"/>
      <c r="S369" s="732"/>
      <c r="T369" s="732"/>
      <c r="U369" s="732"/>
      <c r="V369" s="732"/>
      <c r="W369" s="733"/>
      <c r="X369" s="616"/>
      <c r="AA369" s="213"/>
      <c r="AH369" s="531"/>
    </row>
    <row r="370" spans="1:34" ht="15" customHeight="1">
      <c r="A370" s="794"/>
      <c r="B370" s="949"/>
      <c r="C370" s="949"/>
      <c r="D370" s="949"/>
      <c r="E370" s="949"/>
      <c r="F370" s="928">
        <v>0</v>
      </c>
      <c r="G370" s="929"/>
      <c r="H370" s="928">
        <v>10</v>
      </c>
      <c r="I370" s="929"/>
      <c r="J370" s="930"/>
      <c r="K370" s="928" t="s">
        <v>214</v>
      </c>
      <c r="L370" s="929"/>
      <c r="M370" s="929"/>
      <c r="N370" s="929"/>
      <c r="O370" s="930"/>
      <c r="P370" s="1067" t="s">
        <v>215</v>
      </c>
      <c r="Q370" s="1068"/>
      <c r="R370" s="1068"/>
      <c r="S370" s="1068"/>
      <c r="T370" s="1069"/>
      <c r="U370" s="928">
        <v>10</v>
      </c>
      <c r="V370" s="929"/>
      <c r="W370" s="930"/>
      <c r="X370" s="616"/>
      <c r="AA370" s="213"/>
      <c r="AH370" s="531"/>
    </row>
    <row r="371" spans="1:34" ht="12.75" customHeight="1">
      <c r="A371" s="1061" t="s">
        <v>245</v>
      </c>
      <c r="B371" s="725" t="s">
        <v>446</v>
      </c>
      <c r="C371" s="726"/>
      <c r="D371" s="726"/>
      <c r="E371" s="727"/>
      <c r="F371" s="743" t="s">
        <v>246</v>
      </c>
      <c r="G371" s="756"/>
      <c r="H371" s="743" t="s">
        <v>444</v>
      </c>
      <c r="I371" s="756"/>
      <c r="J371" s="757"/>
      <c r="K371" s="758" t="s">
        <v>307</v>
      </c>
      <c r="L371" s="759"/>
      <c r="M371" s="759"/>
      <c r="N371" s="759"/>
      <c r="O371" s="760"/>
      <c r="P371" s="743" t="s">
        <v>362</v>
      </c>
      <c r="Q371" s="756"/>
      <c r="R371" s="756"/>
      <c r="S371" s="756"/>
      <c r="T371" s="757"/>
      <c r="U371" s="743" t="s">
        <v>445</v>
      </c>
      <c r="V371" s="756"/>
      <c r="W371" s="757"/>
      <c r="X371" s="616"/>
      <c r="Y371" s="14"/>
      <c r="AA371" s="14"/>
      <c r="AH371" s="531"/>
    </row>
    <row r="372" spans="1:34" ht="12.75" customHeight="1">
      <c r="A372" s="1062"/>
      <c r="B372" s="728"/>
      <c r="C372" s="729"/>
      <c r="D372" s="729"/>
      <c r="E372" s="730"/>
      <c r="F372" s="758"/>
      <c r="G372" s="759"/>
      <c r="H372" s="758"/>
      <c r="I372" s="759"/>
      <c r="J372" s="760"/>
      <c r="K372" s="758"/>
      <c r="L372" s="759"/>
      <c r="M372" s="759"/>
      <c r="N372" s="759"/>
      <c r="O372" s="760"/>
      <c r="P372" s="758"/>
      <c r="Q372" s="759"/>
      <c r="R372" s="759"/>
      <c r="S372" s="759"/>
      <c r="T372" s="760"/>
      <c r="U372" s="758"/>
      <c r="V372" s="759"/>
      <c r="W372" s="760"/>
      <c r="X372" s="616"/>
      <c r="Y372" s="14"/>
      <c r="AA372" s="14"/>
      <c r="AH372" s="531"/>
    </row>
    <row r="373" spans="1:34" ht="5.25" customHeight="1">
      <c r="A373" s="1062"/>
      <c r="B373" s="728"/>
      <c r="C373" s="729"/>
      <c r="D373" s="729"/>
      <c r="E373" s="730"/>
      <c r="F373" s="758"/>
      <c r="G373" s="759"/>
      <c r="H373" s="758"/>
      <c r="I373" s="759"/>
      <c r="J373" s="760"/>
      <c r="K373" s="758"/>
      <c r="L373" s="759"/>
      <c r="M373" s="759"/>
      <c r="N373" s="759"/>
      <c r="O373" s="760"/>
      <c r="P373" s="758"/>
      <c r="Q373" s="759"/>
      <c r="R373" s="759"/>
      <c r="S373" s="759"/>
      <c r="T373" s="760"/>
      <c r="U373" s="758"/>
      <c r="V373" s="759"/>
      <c r="W373" s="760"/>
      <c r="X373" s="616"/>
      <c r="Y373" s="14"/>
      <c r="AA373" s="14"/>
      <c r="AH373" s="531"/>
    </row>
    <row r="374" spans="1:34" ht="12.75" customHeight="1">
      <c r="A374" s="1062"/>
      <c r="B374" s="728"/>
      <c r="C374" s="729"/>
      <c r="D374" s="729"/>
      <c r="E374" s="730"/>
      <c r="F374" s="419"/>
      <c r="G374" s="420"/>
      <c r="H374" s="781"/>
      <c r="I374" s="782"/>
      <c r="J374" s="783"/>
      <c r="K374" s="781" t="s">
        <v>480</v>
      </c>
      <c r="L374" s="782"/>
      <c r="M374" s="782"/>
      <c r="N374" s="782"/>
      <c r="O374" s="783"/>
      <c r="P374" s="781" t="s">
        <v>481</v>
      </c>
      <c r="Q374" s="782"/>
      <c r="R374" s="782"/>
      <c r="S374" s="782"/>
      <c r="T374" s="783"/>
      <c r="U374" s="737"/>
      <c r="V374" s="787"/>
      <c r="W374" s="788"/>
      <c r="X374" s="616"/>
      <c r="Y374" s="14"/>
      <c r="AH374" s="531"/>
    </row>
    <row r="375" spans="1:34" ht="12.75" customHeight="1">
      <c r="A375" s="1062"/>
      <c r="B375" s="728"/>
      <c r="C375" s="729"/>
      <c r="D375" s="729"/>
      <c r="E375" s="730"/>
      <c r="F375" s="419"/>
      <c r="G375" s="420"/>
      <c r="H375" s="781"/>
      <c r="I375" s="782"/>
      <c r="J375" s="783"/>
      <c r="K375" s="781"/>
      <c r="L375" s="782"/>
      <c r="M375" s="782"/>
      <c r="N375" s="782"/>
      <c r="O375" s="783"/>
      <c r="P375" s="781"/>
      <c r="Q375" s="782"/>
      <c r="R375" s="782"/>
      <c r="S375" s="782"/>
      <c r="T375" s="783"/>
      <c r="U375" s="737"/>
      <c r="V375" s="787"/>
      <c r="W375" s="788"/>
      <c r="X375" s="616"/>
      <c r="Y375" s="14"/>
      <c r="AH375" s="531"/>
    </row>
    <row r="376" spans="1:34" ht="12.75" customHeight="1">
      <c r="A376" s="1062"/>
      <c r="B376" s="728"/>
      <c r="C376" s="729"/>
      <c r="D376" s="729"/>
      <c r="E376" s="730"/>
      <c r="F376" s="419"/>
      <c r="G376" s="420"/>
      <c r="H376" s="781"/>
      <c r="I376" s="782"/>
      <c r="J376" s="783"/>
      <c r="K376" s="747" t="s">
        <v>442</v>
      </c>
      <c r="L376" s="748"/>
      <c r="M376" s="748"/>
      <c r="N376" s="748"/>
      <c r="O376" s="749"/>
      <c r="P376" s="747" t="s">
        <v>443</v>
      </c>
      <c r="Q376" s="748"/>
      <c r="R376" s="748"/>
      <c r="S376" s="748"/>
      <c r="T376" s="749"/>
      <c r="U376" s="737"/>
      <c r="V376" s="787"/>
      <c r="W376" s="788"/>
      <c r="X376" s="616"/>
      <c r="Y376" s="14"/>
      <c r="AH376" s="531"/>
    </row>
    <row r="377" spans="1:34" ht="12.75" customHeight="1">
      <c r="A377" s="1062"/>
      <c r="B377" s="728"/>
      <c r="C377" s="729"/>
      <c r="D377" s="729"/>
      <c r="E377" s="730"/>
      <c r="F377" s="421"/>
      <c r="G377" s="422"/>
      <c r="H377" s="1071"/>
      <c r="I377" s="1072"/>
      <c r="J377" s="1073"/>
      <c r="K377" s="750"/>
      <c r="L377" s="751"/>
      <c r="M377" s="751"/>
      <c r="N377" s="751"/>
      <c r="O377" s="752"/>
      <c r="P377" s="750"/>
      <c r="Q377" s="751"/>
      <c r="R377" s="751"/>
      <c r="S377" s="751"/>
      <c r="T377" s="752"/>
      <c r="U377" s="789"/>
      <c r="V377" s="790"/>
      <c r="W377" s="791"/>
      <c r="X377" s="616"/>
      <c r="Y377" s="14"/>
      <c r="AH377" s="531"/>
    </row>
    <row r="378" spans="1:34" ht="12.75" customHeight="1">
      <c r="A378" s="1062"/>
      <c r="B378" s="761" t="str">
        <f>B301</f>
        <v>(далее – Прил. № 4)</v>
      </c>
      <c r="C378" s="762"/>
      <c r="D378" s="762"/>
      <c r="E378" s="763"/>
      <c r="F378" s="813">
        <f>IF(Y379=0,IF(FIO="","",0),"")</f>
      </c>
      <c r="G378" s="850"/>
      <c r="H378" s="807"/>
      <c r="I378" s="808"/>
      <c r="J378" s="809"/>
      <c r="K378" s="904"/>
      <c r="L378" s="905"/>
      <c r="M378" s="905"/>
      <c r="N378" s="905"/>
      <c r="O378" s="906"/>
      <c r="P378" s="904"/>
      <c r="Q378" s="905"/>
      <c r="R378" s="905"/>
      <c r="S378" s="905"/>
      <c r="T378" s="906"/>
      <c r="U378" s="807"/>
      <c r="V378" s="808"/>
      <c r="W378" s="809"/>
      <c r="X378" s="616"/>
      <c r="Z378" s="264" t="s">
        <v>209</v>
      </c>
      <c r="AA378" s="265" t="s">
        <v>281</v>
      </c>
      <c r="AE378" s="568" t="s">
        <v>4</v>
      </c>
      <c r="AF378" s="569" t="s">
        <v>3</v>
      </c>
      <c r="AH378" s="531"/>
    </row>
    <row r="379" spans="1:34" ht="12.75" customHeight="1">
      <c r="A379" s="1063"/>
      <c r="B379" s="764"/>
      <c r="C379" s="765"/>
      <c r="D379" s="765"/>
      <c r="E379" s="766"/>
      <c r="F379" s="852"/>
      <c r="G379" s="853"/>
      <c r="H379" s="810"/>
      <c r="I379" s="811"/>
      <c r="J379" s="812"/>
      <c r="K379" s="810"/>
      <c r="L379" s="811"/>
      <c r="M379" s="811"/>
      <c r="N379" s="811"/>
      <c r="O379" s="812"/>
      <c r="P379" s="810"/>
      <c r="Q379" s="811"/>
      <c r="R379" s="811"/>
      <c r="S379" s="811"/>
      <c r="T379" s="812"/>
      <c r="U379" s="810"/>
      <c r="V379" s="811"/>
      <c r="W379" s="812"/>
      <c r="X379" s="616"/>
      <c r="Y379" s="280">
        <f>MAX(H378:W379)</f>
        <v>0</v>
      </c>
      <c r="Z379" s="266">
        <v>60</v>
      </c>
      <c r="AA379" s="283">
        <f>IF(z_kateg="высшая",AE379,AF379)</f>
        <v>10</v>
      </c>
      <c r="AE379" s="570">
        <v>30</v>
      </c>
      <c r="AF379" s="571">
        <v>10</v>
      </c>
      <c r="AH379" s="531"/>
    </row>
    <row r="380" spans="24:34" ht="6.75" customHeight="1">
      <c r="X380" s="616"/>
      <c r="AA380" s="213"/>
      <c r="AB380" s="213"/>
      <c r="AC380" s="213"/>
      <c r="AH380" s="531"/>
    </row>
    <row r="381" spans="1:34" ht="14.25">
      <c r="A381" s="276" t="s">
        <v>247</v>
      </c>
      <c r="B381" s="211" t="s">
        <v>248</v>
      </c>
      <c r="X381" s="616"/>
      <c r="AA381" s="213"/>
      <c r="AB381" s="213"/>
      <c r="AC381" s="213"/>
      <c r="AH381" s="531"/>
    </row>
    <row r="382" spans="1:34" ht="14.25">
      <c r="A382" s="792" t="s">
        <v>204</v>
      </c>
      <c r="B382" s="795" t="s">
        <v>205</v>
      </c>
      <c r="C382" s="796"/>
      <c r="D382" s="796"/>
      <c r="E382" s="796"/>
      <c r="F382" s="796"/>
      <c r="G382" s="796"/>
      <c r="H382" s="796"/>
      <c r="I382" s="796"/>
      <c r="J382" s="796"/>
      <c r="K382" s="831"/>
      <c r="L382" s="799" t="s">
        <v>206</v>
      </c>
      <c r="M382" s="800"/>
      <c r="N382" s="800"/>
      <c r="O382" s="800"/>
      <c r="P382" s="800"/>
      <c r="Q382" s="800"/>
      <c r="R382" s="800"/>
      <c r="S382" s="800"/>
      <c r="T382" s="800"/>
      <c r="U382" s="800"/>
      <c r="V382" s="800"/>
      <c r="W382" s="801"/>
      <c r="X382" s="616"/>
      <c r="AH382" s="531"/>
    </row>
    <row r="383" spans="1:34" ht="14.25" customHeight="1">
      <c r="A383" s="793"/>
      <c r="B383" s="797"/>
      <c r="C383" s="798"/>
      <c r="D383" s="798"/>
      <c r="E383" s="798"/>
      <c r="F383" s="798"/>
      <c r="G383" s="798"/>
      <c r="H383" s="798"/>
      <c r="I383" s="798"/>
      <c r="J383" s="798"/>
      <c r="K383" s="832"/>
      <c r="L383" s="731" t="s">
        <v>207</v>
      </c>
      <c r="M383" s="732"/>
      <c r="N383" s="732"/>
      <c r="O383" s="732"/>
      <c r="P383" s="732"/>
      <c r="Q383" s="732"/>
      <c r="R383" s="732"/>
      <c r="S383" s="732"/>
      <c r="T383" s="732"/>
      <c r="U383" s="732"/>
      <c r="V383" s="732"/>
      <c r="W383" s="733"/>
      <c r="X383" s="616"/>
      <c r="AH383" s="531"/>
    </row>
    <row r="384" spans="1:34" ht="14.25" customHeight="1">
      <c r="A384" s="794"/>
      <c r="B384" s="833"/>
      <c r="C384" s="834"/>
      <c r="D384" s="834"/>
      <c r="E384" s="834"/>
      <c r="F384" s="834"/>
      <c r="G384" s="834"/>
      <c r="H384" s="834"/>
      <c r="I384" s="834"/>
      <c r="J384" s="834"/>
      <c r="K384" s="835"/>
      <c r="L384" s="928">
        <v>0</v>
      </c>
      <c r="M384" s="929"/>
      <c r="N384" s="929"/>
      <c r="O384" s="930"/>
      <c r="P384" s="928">
        <v>20</v>
      </c>
      <c r="Q384" s="929"/>
      <c r="R384" s="929"/>
      <c r="S384" s="930"/>
      <c r="T384" s="734">
        <v>30</v>
      </c>
      <c r="U384" s="735"/>
      <c r="V384" s="735"/>
      <c r="W384" s="736"/>
      <c r="X384" s="616"/>
      <c r="AH384" s="531"/>
    </row>
    <row r="385" spans="1:34" ht="12.75">
      <c r="A385" s="262" t="s">
        <v>249</v>
      </c>
      <c r="B385" s="725" t="s">
        <v>449</v>
      </c>
      <c r="C385" s="726"/>
      <c r="D385" s="726"/>
      <c r="E385" s="726"/>
      <c r="F385" s="726"/>
      <c r="G385" s="726"/>
      <c r="H385" s="726"/>
      <c r="I385" s="726"/>
      <c r="J385" s="726"/>
      <c r="K385" s="727"/>
      <c r="L385" s="885" t="s">
        <v>365</v>
      </c>
      <c r="M385" s="886"/>
      <c r="N385" s="886"/>
      <c r="O385" s="887"/>
      <c r="P385" s="743" t="s">
        <v>366</v>
      </c>
      <c r="Q385" s="756"/>
      <c r="R385" s="756"/>
      <c r="S385" s="757"/>
      <c r="T385" s="743" t="s">
        <v>450</v>
      </c>
      <c r="U385" s="756"/>
      <c r="V385" s="756"/>
      <c r="W385" s="757"/>
      <c r="X385" s="616"/>
      <c r="Y385" s="14"/>
      <c r="AA385" s="14"/>
      <c r="AB385" s="14"/>
      <c r="AC385" s="14"/>
      <c r="AH385" s="531"/>
    </row>
    <row r="386" spans="1:34" ht="12.75">
      <c r="A386" s="313"/>
      <c r="B386" s="728"/>
      <c r="C386" s="729"/>
      <c r="D386" s="729"/>
      <c r="E386" s="729"/>
      <c r="F386" s="729"/>
      <c r="G386" s="729"/>
      <c r="H386" s="729"/>
      <c r="I386" s="729"/>
      <c r="J386" s="729"/>
      <c r="K386" s="730"/>
      <c r="L386" s="888"/>
      <c r="M386" s="889"/>
      <c r="N386" s="889"/>
      <c r="O386" s="890"/>
      <c r="P386" s="758"/>
      <c r="Q386" s="759"/>
      <c r="R386" s="759"/>
      <c r="S386" s="760"/>
      <c r="T386" s="758"/>
      <c r="U386" s="759"/>
      <c r="V386" s="759"/>
      <c r="W386" s="760"/>
      <c r="X386" s="616"/>
      <c r="Y386" s="14"/>
      <c r="AA386" s="14"/>
      <c r="AB386" s="14"/>
      <c r="AC386" s="14"/>
      <c r="AH386" s="531"/>
    </row>
    <row r="387" spans="1:34" ht="5.25" customHeight="1">
      <c r="A387" s="290"/>
      <c r="B387" s="728"/>
      <c r="C387" s="729"/>
      <c r="D387" s="729"/>
      <c r="E387" s="729"/>
      <c r="F387" s="729"/>
      <c r="G387" s="729"/>
      <c r="H387" s="729"/>
      <c r="I387" s="729"/>
      <c r="J387" s="729"/>
      <c r="K387" s="730"/>
      <c r="L387" s="888"/>
      <c r="M387" s="889"/>
      <c r="N387" s="889"/>
      <c r="O387" s="890"/>
      <c r="P387" s="758"/>
      <c r="Q387" s="759"/>
      <c r="R387" s="759"/>
      <c r="S387" s="760"/>
      <c r="T387" s="758"/>
      <c r="U387" s="759"/>
      <c r="V387" s="759"/>
      <c r="W387" s="760"/>
      <c r="X387" s="616"/>
      <c r="Y387" s="14"/>
      <c r="AA387" s="14"/>
      <c r="AB387" s="14"/>
      <c r="AC387" s="14"/>
      <c r="AH387" s="531"/>
    </row>
    <row r="388" spans="1:34" ht="14.25" customHeight="1">
      <c r="A388" s="291"/>
      <c r="B388" s="882" t="s">
        <v>318</v>
      </c>
      <c r="C388" s="883"/>
      <c r="D388" s="883"/>
      <c r="E388" s="883"/>
      <c r="F388" s="883"/>
      <c r="G388" s="883"/>
      <c r="H388" s="883"/>
      <c r="I388" s="883"/>
      <c r="J388" s="883"/>
      <c r="K388" s="884"/>
      <c r="L388" s="888"/>
      <c r="M388" s="889"/>
      <c r="N388" s="889"/>
      <c r="O388" s="890"/>
      <c r="P388" s="758"/>
      <c r="Q388" s="759"/>
      <c r="R388" s="759"/>
      <c r="S388" s="760"/>
      <c r="T388" s="758"/>
      <c r="U388" s="759"/>
      <c r="V388" s="759"/>
      <c r="W388" s="760"/>
      <c r="X388" s="616"/>
      <c r="Y388" s="14"/>
      <c r="AA388" s="14"/>
      <c r="AB388" s="14"/>
      <c r="AC388" s="14"/>
      <c r="AH388" s="531"/>
    </row>
    <row r="389" spans="1:34" ht="12.75" customHeight="1">
      <c r="A389" s="290"/>
      <c r="B389" s="771" t="s">
        <v>364</v>
      </c>
      <c r="C389" s="772"/>
      <c r="D389" s="772"/>
      <c r="E389" s="772"/>
      <c r="F389" s="772"/>
      <c r="G389" s="772"/>
      <c r="H389" s="772"/>
      <c r="I389" s="772"/>
      <c r="J389" s="772"/>
      <c r="K389" s="773"/>
      <c r="L389" s="888"/>
      <c r="M389" s="889"/>
      <c r="N389" s="889"/>
      <c r="O389" s="890"/>
      <c r="P389" s="758"/>
      <c r="Q389" s="759"/>
      <c r="R389" s="759"/>
      <c r="S389" s="760"/>
      <c r="T389" s="758"/>
      <c r="U389" s="759"/>
      <c r="V389" s="759"/>
      <c r="W389" s="760"/>
      <c r="X389" s="616"/>
      <c r="Y389" s="14"/>
      <c r="AH389" s="531"/>
    </row>
    <row r="390" spans="1:34" ht="12.75">
      <c r="A390" s="306"/>
      <c r="B390" s="771"/>
      <c r="C390" s="772"/>
      <c r="D390" s="772"/>
      <c r="E390" s="772"/>
      <c r="F390" s="772"/>
      <c r="G390" s="772"/>
      <c r="H390" s="772"/>
      <c r="I390" s="772"/>
      <c r="J390" s="772"/>
      <c r="K390" s="773"/>
      <c r="L390" s="813">
        <f>IF(SUM(P390:W391)=0,IF(FIO="","",0),"")</f>
      </c>
      <c r="M390" s="850"/>
      <c r="N390" s="850"/>
      <c r="O390" s="851"/>
      <c r="P390" s="770"/>
      <c r="Q390" s="770"/>
      <c r="R390" s="770"/>
      <c r="S390" s="770"/>
      <c r="T390" s="770"/>
      <c r="U390" s="770"/>
      <c r="V390" s="770"/>
      <c r="W390" s="770"/>
      <c r="X390" s="616"/>
      <c r="Z390" s="264" t="s">
        <v>209</v>
      </c>
      <c r="AA390" s="265" t="s">
        <v>281</v>
      </c>
      <c r="AE390" s="568" t="s">
        <v>4</v>
      </c>
      <c r="AF390" s="569" t="s">
        <v>3</v>
      </c>
      <c r="AH390" s="531"/>
    </row>
    <row r="391" spans="1:34" ht="12.75">
      <c r="A391" s="307"/>
      <c r="B391" s="774"/>
      <c r="C391" s="775"/>
      <c r="D391" s="775"/>
      <c r="E391" s="775"/>
      <c r="F391" s="775"/>
      <c r="G391" s="775"/>
      <c r="H391" s="775"/>
      <c r="I391" s="775"/>
      <c r="J391" s="775"/>
      <c r="K391" s="776"/>
      <c r="L391" s="852"/>
      <c r="M391" s="853"/>
      <c r="N391" s="853"/>
      <c r="O391" s="854"/>
      <c r="P391" s="770"/>
      <c r="Q391" s="770"/>
      <c r="R391" s="770"/>
      <c r="S391" s="770"/>
      <c r="T391" s="770"/>
      <c r="U391" s="770"/>
      <c r="V391" s="770"/>
      <c r="W391" s="770"/>
      <c r="X391" s="616"/>
      <c r="Y391" s="280">
        <f>MAX(P390:W391)</f>
        <v>0</v>
      </c>
      <c r="Z391" s="266">
        <v>30</v>
      </c>
      <c r="AA391" s="283">
        <f>IF(z_kateg="высшая",AE391,AF391)</f>
        <v>0</v>
      </c>
      <c r="AE391" s="570">
        <v>0</v>
      </c>
      <c r="AF391" s="571">
        <v>0</v>
      </c>
      <c r="AH391" s="531"/>
    </row>
    <row r="392" spans="1:34" ht="14.25">
      <c r="A392" s="792" t="s">
        <v>204</v>
      </c>
      <c r="B392" s="795" t="s">
        <v>205</v>
      </c>
      <c r="C392" s="796"/>
      <c r="D392" s="796"/>
      <c r="E392" s="796"/>
      <c r="F392" s="796"/>
      <c r="G392" s="796"/>
      <c r="H392" s="796"/>
      <c r="I392" s="796"/>
      <c r="J392" s="796"/>
      <c r="K392" s="831"/>
      <c r="L392" s="799" t="s">
        <v>206</v>
      </c>
      <c r="M392" s="800"/>
      <c r="N392" s="800"/>
      <c r="O392" s="800"/>
      <c r="P392" s="800"/>
      <c r="Q392" s="800"/>
      <c r="R392" s="800"/>
      <c r="S392" s="800"/>
      <c r="T392" s="800"/>
      <c r="U392" s="800"/>
      <c r="V392" s="800"/>
      <c r="W392" s="801"/>
      <c r="X392" s="616"/>
      <c r="AH392" s="531"/>
    </row>
    <row r="393" spans="1:34" ht="14.25" customHeight="1">
      <c r="A393" s="793"/>
      <c r="B393" s="797"/>
      <c r="C393" s="798"/>
      <c r="D393" s="798"/>
      <c r="E393" s="798"/>
      <c r="F393" s="798"/>
      <c r="G393" s="798"/>
      <c r="H393" s="798"/>
      <c r="I393" s="798"/>
      <c r="J393" s="798"/>
      <c r="K393" s="832"/>
      <c r="L393" s="731" t="s">
        <v>207</v>
      </c>
      <c r="M393" s="732"/>
      <c r="N393" s="732"/>
      <c r="O393" s="732"/>
      <c r="P393" s="732"/>
      <c r="Q393" s="732"/>
      <c r="R393" s="732"/>
      <c r="S393" s="732"/>
      <c r="T393" s="732"/>
      <c r="U393" s="732"/>
      <c r="V393" s="732"/>
      <c r="W393" s="733"/>
      <c r="X393" s="616"/>
      <c r="AH393" s="531"/>
    </row>
    <row r="394" spans="1:34" ht="14.25" customHeight="1">
      <c r="A394" s="794"/>
      <c r="B394" s="833"/>
      <c r="C394" s="834"/>
      <c r="D394" s="834"/>
      <c r="E394" s="834"/>
      <c r="F394" s="834"/>
      <c r="G394" s="834"/>
      <c r="H394" s="834"/>
      <c r="I394" s="834"/>
      <c r="J394" s="834"/>
      <c r="K394" s="835"/>
      <c r="L394" s="928">
        <v>0</v>
      </c>
      <c r="M394" s="929"/>
      <c r="N394" s="929"/>
      <c r="O394" s="930"/>
      <c r="P394" s="928">
        <v>30</v>
      </c>
      <c r="Q394" s="929"/>
      <c r="R394" s="929"/>
      <c r="S394" s="930"/>
      <c r="T394" s="734">
        <v>50</v>
      </c>
      <c r="U394" s="735"/>
      <c r="V394" s="735"/>
      <c r="W394" s="736"/>
      <c r="X394" s="616"/>
      <c r="AH394" s="531"/>
    </row>
    <row r="395" spans="1:34" ht="12.75" customHeight="1">
      <c r="A395" s="262" t="s">
        <v>250</v>
      </c>
      <c r="B395" s="725" t="s">
        <v>363</v>
      </c>
      <c r="C395" s="726"/>
      <c r="D395" s="726"/>
      <c r="E395" s="726"/>
      <c r="F395" s="726"/>
      <c r="G395" s="726"/>
      <c r="H395" s="726"/>
      <c r="I395" s="726"/>
      <c r="J395" s="726"/>
      <c r="K395" s="727"/>
      <c r="L395" s="885" t="s">
        <v>302</v>
      </c>
      <c r="M395" s="886"/>
      <c r="N395" s="886"/>
      <c r="O395" s="887"/>
      <c r="P395" s="743" t="s">
        <v>251</v>
      </c>
      <c r="Q395" s="756"/>
      <c r="R395" s="756"/>
      <c r="S395" s="757"/>
      <c r="T395" s="743" t="s">
        <v>252</v>
      </c>
      <c r="U395" s="756"/>
      <c r="V395" s="756"/>
      <c r="W395" s="757"/>
      <c r="X395" s="616"/>
      <c r="Y395" s="14"/>
      <c r="AA395" s="14"/>
      <c r="AB395" s="14"/>
      <c r="AC395" s="14"/>
      <c r="AH395" s="531"/>
    </row>
    <row r="396" spans="1:34" ht="9.75" customHeight="1">
      <c r="A396" s="290"/>
      <c r="B396" s="728"/>
      <c r="C396" s="729"/>
      <c r="D396" s="729"/>
      <c r="E396" s="729"/>
      <c r="F396" s="729"/>
      <c r="G396" s="729"/>
      <c r="H396" s="729"/>
      <c r="I396" s="729"/>
      <c r="J396" s="729"/>
      <c r="K396" s="730"/>
      <c r="L396" s="888"/>
      <c r="M396" s="889"/>
      <c r="N396" s="889"/>
      <c r="O396" s="890"/>
      <c r="P396" s="758"/>
      <c r="Q396" s="759"/>
      <c r="R396" s="759"/>
      <c r="S396" s="760"/>
      <c r="T396" s="758"/>
      <c r="U396" s="759"/>
      <c r="V396" s="759"/>
      <c r="W396" s="760"/>
      <c r="X396" s="616"/>
      <c r="Y396" s="14"/>
      <c r="AA396" s="14"/>
      <c r="AB396" s="14"/>
      <c r="AC396" s="14"/>
      <c r="AH396" s="531"/>
    </row>
    <row r="397" spans="1:34" ht="14.25" customHeight="1">
      <c r="A397" s="291"/>
      <c r="B397" s="882" t="s">
        <v>318</v>
      </c>
      <c r="C397" s="883"/>
      <c r="D397" s="883"/>
      <c r="E397" s="883"/>
      <c r="F397" s="883"/>
      <c r="G397" s="883"/>
      <c r="H397" s="883"/>
      <c r="I397" s="883"/>
      <c r="J397" s="883"/>
      <c r="K397" s="884"/>
      <c r="L397" s="888"/>
      <c r="M397" s="889"/>
      <c r="N397" s="889"/>
      <c r="O397" s="890"/>
      <c r="P397" s="758"/>
      <c r="Q397" s="759"/>
      <c r="R397" s="759"/>
      <c r="S397" s="760"/>
      <c r="T397" s="758"/>
      <c r="U397" s="759"/>
      <c r="V397" s="759"/>
      <c r="W397" s="760"/>
      <c r="X397" s="616"/>
      <c r="Y397" s="14"/>
      <c r="AA397" s="14"/>
      <c r="AB397" s="14"/>
      <c r="AC397" s="14"/>
      <c r="AH397" s="531"/>
    </row>
    <row r="398" spans="1:34" ht="12.75" customHeight="1">
      <c r="A398" s="290"/>
      <c r="B398" s="771" t="s">
        <v>308</v>
      </c>
      <c r="C398" s="772"/>
      <c r="D398" s="772"/>
      <c r="E398" s="772"/>
      <c r="F398" s="772"/>
      <c r="G398" s="772"/>
      <c r="H398" s="772"/>
      <c r="I398" s="772"/>
      <c r="J398" s="772"/>
      <c r="K398" s="773"/>
      <c r="L398" s="888"/>
      <c r="M398" s="889"/>
      <c r="N398" s="889"/>
      <c r="O398" s="890"/>
      <c r="P398" s="758"/>
      <c r="Q398" s="759"/>
      <c r="R398" s="759"/>
      <c r="S398" s="760"/>
      <c r="T398" s="758"/>
      <c r="U398" s="759"/>
      <c r="V398" s="759"/>
      <c r="W398" s="760"/>
      <c r="X398" s="616"/>
      <c r="Y398" s="14"/>
      <c r="AH398" s="531"/>
    </row>
    <row r="399" spans="1:34" ht="1.5" customHeight="1">
      <c r="A399" s="291"/>
      <c r="B399" s="771"/>
      <c r="C399" s="772"/>
      <c r="D399" s="772"/>
      <c r="E399" s="772"/>
      <c r="F399" s="772"/>
      <c r="G399" s="772"/>
      <c r="H399" s="772"/>
      <c r="I399" s="772"/>
      <c r="J399" s="772"/>
      <c r="K399" s="773"/>
      <c r="L399" s="1023"/>
      <c r="M399" s="1024"/>
      <c r="N399" s="1024"/>
      <c r="O399" s="1025"/>
      <c r="P399" s="814"/>
      <c r="Q399" s="815"/>
      <c r="R399" s="815"/>
      <c r="S399" s="816"/>
      <c r="T399" s="814"/>
      <c r="U399" s="815"/>
      <c r="V399" s="815"/>
      <c r="W399" s="816"/>
      <c r="X399" s="616"/>
      <c r="Y399" s="14"/>
      <c r="AH399" s="531"/>
    </row>
    <row r="400" spans="1:34" ht="12.75" customHeight="1">
      <c r="A400" s="306"/>
      <c r="B400" s="771"/>
      <c r="C400" s="772"/>
      <c r="D400" s="772"/>
      <c r="E400" s="772"/>
      <c r="F400" s="772"/>
      <c r="G400" s="772"/>
      <c r="H400" s="772"/>
      <c r="I400" s="772"/>
      <c r="J400" s="772"/>
      <c r="K400" s="773"/>
      <c r="L400" s="813">
        <f>IF(SUM(P400:W401)=0,IF(FIO="","",0),"")</f>
      </c>
      <c r="M400" s="850"/>
      <c r="N400" s="850"/>
      <c r="O400" s="851"/>
      <c r="P400" s="770"/>
      <c r="Q400" s="770"/>
      <c r="R400" s="770"/>
      <c r="S400" s="770"/>
      <c r="T400" s="770"/>
      <c r="U400" s="770"/>
      <c r="V400" s="770"/>
      <c r="W400" s="770"/>
      <c r="X400" s="616"/>
      <c r="Z400" s="264" t="s">
        <v>209</v>
      </c>
      <c r="AA400" s="265" t="s">
        <v>281</v>
      </c>
      <c r="AE400" s="568" t="s">
        <v>4</v>
      </c>
      <c r="AF400" s="569" t="s">
        <v>3</v>
      </c>
      <c r="AH400" s="531"/>
    </row>
    <row r="401" spans="1:34" ht="12.75" customHeight="1">
      <c r="A401" s="307"/>
      <c r="B401" s="774"/>
      <c r="C401" s="775"/>
      <c r="D401" s="775"/>
      <c r="E401" s="775"/>
      <c r="F401" s="775"/>
      <c r="G401" s="775"/>
      <c r="H401" s="775"/>
      <c r="I401" s="775"/>
      <c r="J401" s="775"/>
      <c r="K401" s="776"/>
      <c r="L401" s="852"/>
      <c r="M401" s="853"/>
      <c r="N401" s="853"/>
      <c r="O401" s="854"/>
      <c r="P401" s="770"/>
      <c r="Q401" s="770"/>
      <c r="R401" s="770"/>
      <c r="S401" s="770"/>
      <c r="T401" s="770"/>
      <c r="U401" s="770"/>
      <c r="V401" s="770"/>
      <c r="W401" s="770"/>
      <c r="X401" s="616"/>
      <c r="Y401" s="280">
        <f>MAX(P400:W401)</f>
        <v>0</v>
      </c>
      <c r="Z401" s="266">
        <v>50</v>
      </c>
      <c r="AA401" s="283">
        <f>IF(z_kateg="высшая",AE401,AF401)</f>
        <v>0</v>
      </c>
      <c r="AE401" s="570">
        <v>0</v>
      </c>
      <c r="AF401" s="571">
        <v>0</v>
      </c>
      <c r="AH401" s="531"/>
    </row>
    <row r="402" spans="1:34" ht="12.75" hidden="1">
      <c r="A402" s="5"/>
      <c r="X402" s="616"/>
      <c r="AH402" s="531"/>
    </row>
    <row r="403" spans="1:45" ht="14.25" customHeight="1" hidden="1">
      <c r="A403" s="388"/>
      <c r="B403" s="389"/>
      <c r="C403" s="389"/>
      <c r="D403" s="389"/>
      <c r="E403" s="389"/>
      <c r="F403" s="389"/>
      <c r="G403" s="389"/>
      <c r="H403" s="389"/>
      <c r="I403" s="389"/>
      <c r="J403" s="389"/>
      <c r="K403" s="389"/>
      <c r="L403" s="389"/>
      <c r="M403" s="389"/>
      <c r="N403" s="389"/>
      <c r="O403" s="389"/>
      <c r="P403" s="389"/>
      <c r="Q403" s="389"/>
      <c r="R403" s="389"/>
      <c r="S403" s="389"/>
      <c r="T403" s="389"/>
      <c r="U403" s="389"/>
      <c r="V403" s="389"/>
      <c r="W403" s="389"/>
      <c r="X403" s="616"/>
      <c r="Y403" s="388"/>
      <c r="Z403" s="388"/>
      <c r="AA403" s="388"/>
      <c r="AB403" s="388"/>
      <c r="AC403" s="388"/>
      <c r="AD403" s="388"/>
      <c r="AE403" s="575"/>
      <c r="AF403" s="575"/>
      <c r="AH403" s="531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</row>
    <row r="404" spans="1:34" ht="12.75">
      <c r="A404" s="293"/>
      <c r="B404" s="14"/>
      <c r="C404" s="14"/>
      <c r="D404" s="14"/>
      <c r="X404" s="616"/>
      <c r="AA404" s="264" t="s">
        <v>282</v>
      </c>
      <c r="AB404" s="264" t="s">
        <v>209</v>
      </c>
      <c r="AC404" s="264" t="s">
        <v>281</v>
      </c>
      <c r="AD404" s="301" t="s">
        <v>4</v>
      </c>
      <c r="AE404" s="569" t="s">
        <v>3</v>
      </c>
      <c r="AF404" s="572" t="s">
        <v>283</v>
      </c>
      <c r="AH404" s="531"/>
    </row>
    <row r="405" spans="1:34" ht="15">
      <c r="A405" s="263" t="s">
        <v>192</v>
      </c>
      <c r="B405" s="1048" t="s">
        <v>272</v>
      </c>
      <c r="C405" s="1048"/>
      <c r="D405" s="1048"/>
      <c r="E405" s="1048"/>
      <c r="F405" s="1048"/>
      <c r="G405" s="1048"/>
      <c r="H405" s="1048"/>
      <c r="I405" s="1048"/>
      <c r="J405" s="1048"/>
      <c r="X405" s="616"/>
      <c r="Y405" s="303" t="str">
        <f>A405</f>
        <v>4.</v>
      </c>
      <c r="Z405" s="284" t="s">
        <v>309</v>
      </c>
      <c r="AA405" s="281">
        <f>IF(Z409="нет",0,SUM(Y406:Y424))</f>
        <v>0</v>
      </c>
      <c r="AB405" s="282">
        <f>SUM(Z406:Z424)</f>
        <v>250</v>
      </c>
      <c r="AC405" s="297">
        <f>IF(G56="высшая",AD405,AE405)</f>
        <v>0</v>
      </c>
      <c r="AD405" s="298">
        <v>130</v>
      </c>
      <c r="AE405" s="571">
        <v>0</v>
      </c>
      <c r="AF405" s="576" t="b">
        <f>итого_4&gt;=AC405</f>
        <v>1</v>
      </c>
      <c r="AH405" s="531"/>
    </row>
    <row r="406" spans="24:34" ht="6.75" customHeight="1">
      <c r="X406" s="616"/>
      <c r="AH406" s="531"/>
    </row>
    <row r="407" spans="1:34" ht="14.25" customHeight="1">
      <c r="A407" s="792" t="s">
        <v>204</v>
      </c>
      <c r="B407" s="949" t="s">
        <v>205</v>
      </c>
      <c r="C407" s="949"/>
      <c r="D407" s="949"/>
      <c r="E407" s="949"/>
      <c r="F407" s="949"/>
      <c r="G407" s="949"/>
      <c r="H407" s="795" t="s">
        <v>206</v>
      </c>
      <c r="I407" s="796"/>
      <c r="J407" s="796"/>
      <c r="K407" s="796"/>
      <c r="L407" s="796"/>
      <c r="M407" s="796"/>
      <c r="N407" s="796"/>
      <c r="O407" s="796"/>
      <c r="P407" s="796"/>
      <c r="Q407" s="796"/>
      <c r="R407" s="796"/>
      <c r="S407" s="796"/>
      <c r="T407" s="796"/>
      <c r="U407" s="796"/>
      <c r="V407" s="796"/>
      <c r="W407" s="831"/>
      <c r="X407" s="616"/>
      <c r="Z407" s="5" t="s">
        <v>352</v>
      </c>
      <c r="AD407" s="373">
        <v>560</v>
      </c>
      <c r="AE407" s="577" t="s">
        <v>453</v>
      </c>
      <c r="AH407" s="531"/>
    </row>
    <row r="408" spans="1:34" ht="31.5" customHeight="1">
      <c r="A408" s="793"/>
      <c r="B408" s="949"/>
      <c r="C408" s="949"/>
      <c r="D408" s="949"/>
      <c r="E408" s="949"/>
      <c r="F408" s="949"/>
      <c r="G408" s="949"/>
      <c r="H408" s="1087" t="s">
        <v>605</v>
      </c>
      <c r="I408" s="1088"/>
      <c r="J408" s="1088"/>
      <c r="K408" s="1088"/>
      <c r="L408" s="1088"/>
      <c r="M408" s="1088"/>
      <c r="N408" s="1088"/>
      <c r="O408" s="1088"/>
      <c r="P408" s="1088"/>
      <c r="Q408" s="1088"/>
      <c r="R408" s="1088"/>
      <c r="S408" s="1088"/>
      <c r="T408" s="1088"/>
      <c r="U408" s="1088"/>
      <c r="V408" s="1088"/>
      <c r="W408" s="1089"/>
      <c r="X408" s="616"/>
      <c r="AD408" s="373"/>
      <c r="AE408" s="577"/>
      <c r="AH408" s="531"/>
    </row>
    <row r="409" spans="1:34" ht="13.5" customHeight="1">
      <c r="A409" s="794"/>
      <c r="B409" s="949"/>
      <c r="C409" s="949"/>
      <c r="D409" s="949"/>
      <c r="E409" s="949"/>
      <c r="F409" s="949"/>
      <c r="G409" s="949"/>
      <c r="H409" s="1090"/>
      <c r="I409" s="1091"/>
      <c r="J409" s="1091"/>
      <c r="K409" s="1091"/>
      <c r="L409" s="1091"/>
      <c r="M409" s="1091"/>
      <c r="N409" s="1091"/>
      <c r="O409" s="1091"/>
      <c r="P409" s="1091"/>
      <c r="Q409" s="1091"/>
      <c r="R409" s="1091"/>
      <c r="S409" s="1091"/>
      <c r="T409" s="1091"/>
      <c r="U409" s="1091"/>
      <c r="V409" s="1091"/>
      <c r="W409" s="1092"/>
      <c r="X409" s="616"/>
      <c r="Z409" s="279" t="str">
        <f>'общие сведения'!G103</f>
        <v>нет</v>
      </c>
      <c r="AH409" s="531"/>
    </row>
    <row r="410" spans="1:34" ht="13.5" customHeight="1">
      <c r="A410" s="896" t="s">
        <v>273</v>
      </c>
      <c r="B410" s="897" t="s">
        <v>353</v>
      </c>
      <c r="C410" s="897"/>
      <c r="D410" s="897"/>
      <c r="E410" s="897"/>
      <c r="F410" s="897"/>
      <c r="G410" s="897"/>
      <c r="H410" s="849">
        <v>0</v>
      </c>
      <c r="I410" s="849"/>
      <c r="J410" s="849"/>
      <c r="K410" s="849"/>
      <c r="L410" s="849">
        <f>AC411</f>
        <v>50</v>
      </c>
      <c r="M410" s="849"/>
      <c r="N410" s="849"/>
      <c r="O410" s="849"/>
      <c r="P410" s="849">
        <f>AD411</f>
        <v>70</v>
      </c>
      <c r="Q410" s="849"/>
      <c r="R410" s="849"/>
      <c r="S410" s="849"/>
      <c r="T410" s="849">
        <f>AE411</f>
        <v>90</v>
      </c>
      <c r="U410" s="849"/>
      <c r="V410" s="849"/>
      <c r="W410" s="849"/>
      <c r="X410" s="616"/>
      <c r="AH410" s="531"/>
    </row>
    <row r="411" spans="1:34" ht="13.5" customHeight="1">
      <c r="A411" s="896"/>
      <c r="B411" s="897"/>
      <c r="C411" s="897"/>
      <c r="D411" s="897"/>
      <c r="E411" s="897"/>
      <c r="F411" s="897"/>
      <c r="G411" s="897"/>
      <c r="H411" s="891" t="s">
        <v>354</v>
      </c>
      <c r="I411" s="892"/>
      <c r="J411" s="892"/>
      <c r="K411" s="893"/>
      <c r="L411" s="891" t="s">
        <v>355</v>
      </c>
      <c r="M411" s="892"/>
      <c r="N411" s="892"/>
      <c r="O411" s="893"/>
      <c r="P411" s="891" t="s">
        <v>356</v>
      </c>
      <c r="Q411" s="892"/>
      <c r="R411" s="892"/>
      <c r="S411" s="893"/>
      <c r="T411" s="891" t="s">
        <v>357</v>
      </c>
      <c r="U411" s="892"/>
      <c r="V411" s="892"/>
      <c r="W411" s="893"/>
      <c r="X411" s="616"/>
      <c r="Z411" s="264" t="s">
        <v>209</v>
      </c>
      <c r="AA411" s="265" t="s">
        <v>281</v>
      </c>
      <c r="AC411" s="264">
        <v>50</v>
      </c>
      <c r="AD411" s="264">
        <v>70</v>
      </c>
      <c r="AE411" s="560">
        <v>90</v>
      </c>
      <c r="AH411" s="531"/>
    </row>
    <row r="412" spans="1:34" ht="13.5" customHeight="1">
      <c r="A412" s="896"/>
      <c r="B412" s="897"/>
      <c r="C412" s="897"/>
      <c r="D412" s="897"/>
      <c r="E412" s="897"/>
      <c r="F412" s="897"/>
      <c r="G412" s="897"/>
      <c r="H412" s="813" t="str">
        <f>IF(Y412=0,IF(OR(FIO="",Z409="нет"),"-",0),"")</f>
        <v>-</v>
      </c>
      <c r="I412" s="850"/>
      <c r="J412" s="850"/>
      <c r="K412" s="851"/>
      <c r="L412" s="894"/>
      <c r="M412" s="894"/>
      <c r="N412" s="894"/>
      <c r="O412" s="894"/>
      <c r="P412" s="894"/>
      <c r="Q412" s="894"/>
      <c r="R412" s="894"/>
      <c r="S412" s="894"/>
      <c r="T412" s="894"/>
      <c r="U412" s="894"/>
      <c r="V412" s="894"/>
      <c r="W412" s="894"/>
      <c r="X412" s="616"/>
      <c r="Y412" s="280">
        <f>MAX(L412:W413)</f>
        <v>0</v>
      </c>
      <c r="Z412" s="266">
        <v>90</v>
      </c>
      <c r="AA412" s="283">
        <v>50</v>
      </c>
      <c r="AC412" s="203" t="str">
        <f>IF($Z$409="нет","-",AC411)</f>
        <v>-</v>
      </c>
      <c r="AD412" s="203" t="str">
        <f>IF($Z$409="нет","-",AD411)</f>
        <v>-</v>
      </c>
      <c r="AE412" s="578" t="str">
        <f>IF($Z$409="нет","-",AE411)</f>
        <v>-</v>
      </c>
      <c r="AH412" s="531"/>
    </row>
    <row r="413" spans="1:34" ht="13.5" customHeight="1">
      <c r="A413" s="896"/>
      <c r="B413" s="897"/>
      <c r="C413" s="897"/>
      <c r="D413" s="897"/>
      <c r="E413" s="897"/>
      <c r="F413" s="897"/>
      <c r="G413" s="897"/>
      <c r="H413" s="852"/>
      <c r="I413" s="853"/>
      <c r="J413" s="853"/>
      <c r="K413" s="854"/>
      <c r="L413" s="770"/>
      <c r="M413" s="770"/>
      <c r="N413" s="770"/>
      <c r="O413" s="770"/>
      <c r="P413" s="770"/>
      <c r="Q413" s="770"/>
      <c r="R413" s="770"/>
      <c r="S413" s="770"/>
      <c r="T413" s="770"/>
      <c r="U413" s="770"/>
      <c r="V413" s="770"/>
      <c r="W413" s="770"/>
      <c r="X413" s="616"/>
      <c r="AH413" s="531"/>
    </row>
    <row r="414" spans="1:34" ht="13.5" customHeight="1">
      <c r="A414" s="896" t="s">
        <v>358</v>
      </c>
      <c r="B414" s="897" t="s">
        <v>359</v>
      </c>
      <c r="C414" s="897"/>
      <c r="D414" s="897"/>
      <c r="E414" s="897"/>
      <c r="F414" s="897"/>
      <c r="G414" s="897"/>
      <c r="H414" s="849">
        <v>0</v>
      </c>
      <c r="I414" s="849"/>
      <c r="J414" s="849"/>
      <c r="K414" s="849"/>
      <c r="L414" s="849">
        <f>AC414</f>
        <v>40</v>
      </c>
      <c r="M414" s="849"/>
      <c r="N414" s="849"/>
      <c r="O414" s="849"/>
      <c r="P414" s="849">
        <f>AD414</f>
        <v>60</v>
      </c>
      <c r="Q414" s="849"/>
      <c r="R414" s="849"/>
      <c r="S414" s="849"/>
      <c r="T414" s="849">
        <f>AE414</f>
        <v>80</v>
      </c>
      <c r="U414" s="849"/>
      <c r="V414" s="849"/>
      <c r="W414" s="849"/>
      <c r="X414" s="616"/>
      <c r="AC414" s="264">
        <v>40</v>
      </c>
      <c r="AD414" s="264">
        <v>60</v>
      </c>
      <c r="AE414" s="560">
        <v>80</v>
      </c>
      <c r="AH414" s="531"/>
    </row>
    <row r="415" spans="1:34" ht="13.5" customHeight="1">
      <c r="A415" s="896"/>
      <c r="B415" s="897"/>
      <c r="C415" s="897"/>
      <c r="D415" s="897"/>
      <c r="E415" s="897"/>
      <c r="F415" s="897"/>
      <c r="G415" s="897"/>
      <c r="H415" s="891" t="s">
        <v>354</v>
      </c>
      <c r="I415" s="892"/>
      <c r="J415" s="892"/>
      <c r="K415" s="893"/>
      <c r="L415" s="891" t="s">
        <v>355</v>
      </c>
      <c r="M415" s="892"/>
      <c r="N415" s="892"/>
      <c r="O415" s="893"/>
      <c r="P415" s="891" t="s">
        <v>356</v>
      </c>
      <c r="Q415" s="892"/>
      <c r="R415" s="892"/>
      <c r="S415" s="893"/>
      <c r="T415" s="891" t="s">
        <v>357</v>
      </c>
      <c r="U415" s="892"/>
      <c r="V415" s="892"/>
      <c r="W415" s="893"/>
      <c r="X415" s="616"/>
      <c r="AC415" s="203" t="str">
        <f>IF($Z$409="нет","-",AC414)</f>
        <v>-</v>
      </c>
      <c r="AD415" s="203" t="str">
        <f>IF($Z$409="нет","-",AD414)</f>
        <v>-</v>
      </c>
      <c r="AE415" s="578" t="str">
        <f>IF($Z$409="нет","-",AE414)</f>
        <v>-</v>
      </c>
      <c r="AH415" s="531"/>
    </row>
    <row r="416" spans="1:34" ht="12.75" customHeight="1">
      <c r="A416" s="896"/>
      <c r="B416" s="897"/>
      <c r="C416" s="897"/>
      <c r="D416" s="897"/>
      <c r="E416" s="897"/>
      <c r="F416" s="897"/>
      <c r="G416" s="897"/>
      <c r="H416" s="813" t="str">
        <f>IF(Y416=0,IF(OR(FIO="",Z409="нет"),"-",0),"")</f>
        <v>-</v>
      </c>
      <c r="I416" s="850"/>
      <c r="J416" s="850"/>
      <c r="K416" s="851"/>
      <c r="L416" s="894"/>
      <c r="M416" s="894"/>
      <c r="N416" s="894"/>
      <c r="O416" s="894"/>
      <c r="P416" s="894"/>
      <c r="Q416" s="894"/>
      <c r="R416" s="894"/>
      <c r="S416" s="894"/>
      <c r="T416" s="894"/>
      <c r="U416" s="894"/>
      <c r="V416" s="894"/>
      <c r="W416" s="894"/>
      <c r="X416" s="616"/>
      <c r="Y416" s="280">
        <f>MAX(L416:W417)</f>
        <v>0</v>
      </c>
      <c r="Z416" s="266">
        <v>80</v>
      </c>
      <c r="AA416" s="283">
        <v>40</v>
      </c>
      <c r="AH416" s="531"/>
    </row>
    <row r="417" spans="1:34" ht="12.75" customHeight="1">
      <c r="A417" s="896"/>
      <c r="B417" s="897"/>
      <c r="C417" s="897"/>
      <c r="D417" s="897"/>
      <c r="E417" s="897"/>
      <c r="F417" s="897"/>
      <c r="G417" s="897"/>
      <c r="H417" s="852"/>
      <c r="I417" s="853"/>
      <c r="J417" s="853"/>
      <c r="K417" s="854"/>
      <c r="L417" s="770"/>
      <c r="M417" s="770"/>
      <c r="N417" s="770"/>
      <c r="O417" s="770"/>
      <c r="P417" s="770"/>
      <c r="Q417" s="770"/>
      <c r="R417" s="770"/>
      <c r="S417" s="770"/>
      <c r="T417" s="770"/>
      <c r="U417" s="770"/>
      <c r="V417" s="770"/>
      <c r="W417" s="770"/>
      <c r="X417" s="616"/>
      <c r="AH417" s="531"/>
    </row>
    <row r="418" spans="1:34" ht="13.5" customHeight="1">
      <c r="A418" s="896" t="s">
        <v>360</v>
      </c>
      <c r="B418" s="897" t="s">
        <v>361</v>
      </c>
      <c r="C418" s="897"/>
      <c r="D418" s="897"/>
      <c r="E418" s="897"/>
      <c r="F418" s="897"/>
      <c r="G418" s="897"/>
      <c r="H418" s="849">
        <v>0</v>
      </c>
      <c r="I418" s="849"/>
      <c r="J418" s="849"/>
      <c r="K418" s="849"/>
      <c r="L418" s="849">
        <v>40</v>
      </c>
      <c r="M418" s="849"/>
      <c r="N418" s="849"/>
      <c r="O418" s="849"/>
      <c r="P418" s="849">
        <v>60</v>
      </c>
      <c r="Q418" s="849"/>
      <c r="R418" s="849"/>
      <c r="S418" s="849"/>
      <c r="T418" s="849">
        <v>80</v>
      </c>
      <c r="U418" s="849"/>
      <c r="V418" s="849"/>
      <c r="W418" s="849"/>
      <c r="X418" s="616"/>
      <c r="AH418" s="531"/>
    </row>
    <row r="419" spans="1:34" ht="13.5" customHeight="1">
      <c r="A419" s="896"/>
      <c r="B419" s="897"/>
      <c r="C419" s="897"/>
      <c r="D419" s="897"/>
      <c r="E419" s="897"/>
      <c r="F419" s="897"/>
      <c r="G419" s="897"/>
      <c r="H419" s="891" t="s">
        <v>354</v>
      </c>
      <c r="I419" s="892"/>
      <c r="J419" s="892"/>
      <c r="K419" s="893"/>
      <c r="L419" s="891" t="s">
        <v>355</v>
      </c>
      <c r="M419" s="892"/>
      <c r="N419" s="892"/>
      <c r="O419" s="893"/>
      <c r="P419" s="891" t="s">
        <v>356</v>
      </c>
      <c r="Q419" s="892"/>
      <c r="R419" s="892"/>
      <c r="S419" s="893"/>
      <c r="T419" s="891" t="s">
        <v>357</v>
      </c>
      <c r="U419" s="892"/>
      <c r="V419" s="892"/>
      <c r="W419" s="893"/>
      <c r="X419" s="616"/>
      <c r="AH419" s="531"/>
    </row>
    <row r="420" spans="1:34" ht="12.75" customHeight="1">
      <c r="A420" s="896"/>
      <c r="B420" s="897"/>
      <c r="C420" s="897"/>
      <c r="D420" s="897"/>
      <c r="E420" s="897"/>
      <c r="F420" s="897"/>
      <c r="G420" s="897"/>
      <c r="H420" s="813" t="str">
        <f>IF(Y420=0,IF(OR(FIO="",Z409="нет"),"-",0),"")</f>
        <v>-</v>
      </c>
      <c r="I420" s="850"/>
      <c r="J420" s="850"/>
      <c r="K420" s="851"/>
      <c r="L420" s="894"/>
      <c r="M420" s="894"/>
      <c r="N420" s="894"/>
      <c r="O420" s="894"/>
      <c r="P420" s="894"/>
      <c r="Q420" s="894"/>
      <c r="R420" s="894"/>
      <c r="S420" s="894"/>
      <c r="T420" s="894"/>
      <c r="U420" s="894"/>
      <c r="V420" s="894"/>
      <c r="W420" s="894"/>
      <c r="X420" s="616"/>
      <c r="Y420" s="280">
        <f>MAX(L420:W421)</f>
        <v>0</v>
      </c>
      <c r="Z420" s="266">
        <v>80</v>
      </c>
      <c r="AA420" s="283">
        <v>40</v>
      </c>
      <c r="AH420" s="531"/>
    </row>
    <row r="421" spans="1:34" ht="12.75" customHeight="1">
      <c r="A421" s="896"/>
      <c r="B421" s="897"/>
      <c r="C421" s="897"/>
      <c r="D421" s="897"/>
      <c r="E421" s="897"/>
      <c r="F421" s="897"/>
      <c r="G421" s="897"/>
      <c r="H421" s="852"/>
      <c r="I421" s="853"/>
      <c r="J421" s="853"/>
      <c r="K421" s="854"/>
      <c r="L421" s="770"/>
      <c r="M421" s="770"/>
      <c r="N421" s="770"/>
      <c r="O421" s="770"/>
      <c r="P421" s="770"/>
      <c r="Q421" s="770"/>
      <c r="R421" s="770"/>
      <c r="S421" s="770"/>
      <c r="T421" s="770"/>
      <c r="U421" s="770"/>
      <c r="V421" s="770"/>
      <c r="W421" s="770"/>
      <c r="X421" s="616"/>
      <c r="AH421" s="531"/>
    </row>
    <row r="422" spans="1:34" ht="31.5" customHeight="1">
      <c r="A422" s="1084" t="s">
        <v>604</v>
      </c>
      <c r="B422" s="1085"/>
      <c r="C422" s="1085"/>
      <c r="D422" s="1085"/>
      <c r="E422" s="1085"/>
      <c r="F422" s="1085"/>
      <c r="G422" s="1085"/>
      <c r="H422" s="1085"/>
      <c r="I422" s="1085"/>
      <c r="J422" s="1085"/>
      <c r="K422" s="1085"/>
      <c r="L422" s="1085"/>
      <c r="M422" s="1085"/>
      <c r="N422" s="1085"/>
      <c r="O422" s="1085"/>
      <c r="P422" s="1085"/>
      <c r="Q422" s="1085"/>
      <c r="R422" s="1085"/>
      <c r="S422" s="1085"/>
      <c r="T422" s="1085"/>
      <c r="U422" s="1085"/>
      <c r="V422" s="1085"/>
      <c r="W422" s="1086"/>
      <c r="X422" s="616"/>
      <c r="AE422" s="5"/>
      <c r="AF422" s="5"/>
      <c r="AH422" s="388"/>
    </row>
    <row r="423" spans="24:34" ht="12.75">
      <c r="X423" s="616"/>
      <c r="AH423" s="531"/>
    </row>
    <row r="424" spans="24:34" ht="12.75">
      <c r="X424" s="616"/>
      <c r="AH424" s="531"/>
    </row>
    <row r="425" spans="2:34" ht="14.25" customHeight="1">
      <c r="B425" s="273" t="s">
        <v>274</v>
      </c>
      <c r="X425" s="616"/>
      <c r="Y425" s="178"/>
      <c r="Z425" s="178"/>
      <c r="AA425" s="317" t="s">
        <v>451</v>
      </c>
      <c r="AB425" s="281">
        <f>итого_1+итого_2+итого_3</f>
        <v>0</v>
      </c>
      <c r="AC425" s="373">
        <v>720</v>
      </c>
      <c r="AE425" s="579">
        <v>540</v>
      </c>
      <c r="AF425" s="577" t="s">
        <v>319</v>
      </c>
      <c r="AH425" s="531"/>
    </row>
    <row r="426" spans="2:34" ht="4.5" customHeight="1">
      <c r="B426" s="239"/>
      <c r="X426" s="616"/>
      <c r="AH426" s="531"/>
    </row>
    <row r="427" spans="2:34" ht="14.25" customHeight="1">
      <c r="B427" s="1038" t="s">
        <v>253</v>
      </c>
      <c r="C427" s="1039"/>
      <c r="D427" s="1039"/>
      <c r="E427" s="1039"/>
      <c r="F427" s="1039"/>
      <c r="G427" s="1040"/>
      <c r="H427" s="1038" t="s">
        <v>254</v>
      </c>
      <c r="I427" s="1039"/>
      <c r="J427" s="1039"/>
      <c r="K427" s="1039"/>
      <c r="L427" s="1039"/>
      <c r="M427" s="1039"/>
      <c r="N427" s="1039"/>
      <c r="O427" s="1039"/>
      <c r="P427" s="1039"/>
      <c r="Q427" s="1039"/>
      <c r="R427" s="1039"/>
      <c r="S427" s="1040"/>
      <c r="X427" s="616"/>
      <c r="AA427" s="372" t="s">
        <v>452</v>
      </c>
      <c r="AH427" s="531"/>
    </row>
    <row r="428" spans="1:34" ht="14.25" customHeight="1">
      <c r="A428" s="5"/>
      <c r="B428" s="1032" t="s">
        <v>255</v>
      </c>
      <c r="C428" s="1033"/>
      <c r="D428" s="1033"/>
      <c r="E428" s="1033"/>
      <c r="F428" s="1033"/>
      <c r="G428" s="1034"/>
      <c r="H428" s="1035">
        <f>порог_П</f>
        <v>210</v>
      </c>
      <c r="I428" s="1036"/>
      <c r="J428" s="1036"/>
      <c r="K428" s="1036"/>
      <c r="L428" s="1036"/>
      <c r="M428" s="1036"/>
      <c r="N428" s="1036"/>
      <c r="O428" s="1036"/>
      <c r="P428" s="1036"/>
      <c r="Q428" s="1036"/>
      <c r="R428" s="1036"/>
      <c r="S428" s="1037"/>
      <c r="X428" s="616"/>
      <c r="AA428" s="321">
        <f>'общие сведения'!M18</f>
        <v>210</v>
      </c>
      <c r="AB428" s="321">
        <f>'общие сведения'!M19</f>
        <v>270</v>
      </c>
      <c r="AH428" s="531"/>
    </row>
    <row r="429" spans="1:34" ht="14.25" customHeight="1">
      <c r="A429" s="5"/>
      <c r="B429" s="1032" t="s">
        <v>256</v>
      </c>
      <c r="C429" s="1033"/>
      <c r="D429" s="1033"/>
      <c r="E429" s="1033"/>
      <c r="F429" s="1033"/>
      <c r="G429" s="1034"/>
      <c r="H429" s="1035">
        <f>порог_В</f>
        <v>400</v>
      </c>
      <c r="I429" s="1036"/>
      <c r="J429" s="1036"/>
      <c r="K429" s="1036"/>
      <c r="L429" s="1036"/>
      <c r="M429" s="1036"/>
      <c r="N429" s="1036"/>
      <c r="O429" s="1036"/>
      <c r="P429" s="1036"/>
      <c r="Q429" s="1036"/>
      <c r="R429" s="1036"/>
      <c r="S429" s="1037"/>
      <c r="X429" s="616"/>
      <c r="Y429" s="344">
        <f>IF(G56="первая","первой",IF(G56="высшая","высшей",""))</f>
      </c>
      <c r="AA429" s="321">
        <f>'общие сведения'!N18</f>
        <v>450</v>
      </c>
      <c r="AB429" s="321">
        <f>'общие сведения'!N19</f>
        <v>510</v>
      </c>
      <c r="AH429" s="531"/>
    </row>
    <row r="430" spans="1:34" ht="12.75" customHeight="1">
      <c r="A430" s="338"/>
      <c r="B430" s="338"/>
      <c r="C430" s="338"/>
      <c r="D430" s="338"/>
      <c r="E430" s="338"/>
      <c r="F430" s="338"/>
      <c r="G430" s="338"/>
      <c r="H430" s="338"/>
      <c r="I430" s="318"/>
      <c r="J430" s="318"/>
      <c r="L430" s="340"/>
      <c r="M430" s="340"/>
      <c r="N430" s="339"/>
      <c r="P430" s="340"/>
      <c r="Q430" s="339"/>
      <c r="R430" s="339"/>
      <c r="S430" s="14"/>
      <c r="X430" s="616"/>
      <c r="AA430" s="321"/>
      <c r="AH430" s="531"/>
    </row>
    <row r="431" spans="1:34" ht="12.75" customHeight="1">
      <c r="A431" s="338"/>
      <c r="B431" s="273" t="s">
        <v>278</v>
      </c>
      <c r="C431" s="338"/>
      <c r="D431" s="338"/>
      <c r="E431" s="338"/>
      <c r="F431" s="338"/>
      <c r="G431" s="338"/>
      <c r="H431" s="338"/>
      <c r="I431" s="318"/>
      <c r="J431" s="318"/>
      <c r="K431" s="340"/>
      <c r="L431" s="340"/>
      <c r="M431" s="340"/>
      <c r="N431" s="339"/>
      <c r="O431" s="340"/>
      <c r="P431" s="1051">
        <f>IF(FIO="","",Всего)</f>
      </c>
      <c r="Q431" s="1051"/>
      <c r="R431" s="336"/>
      <c r="S431" s="273" t="s">
        <v>257</v>
      </c>
      <c r="X431" s="616"/>
      <c r="AH431" s="531"/>
    </row>
    <row r="432" spans="24:34" ht="12.75">
      <c r="X432" s="616"/>
      <c r="AH432" s="531"/>
    </row>
    <row r="433" spans="1:34" ht="15">
      <c r="A433" s="214" t="s">
        <v>193</v>
      </c>
      <c r="B433" s="341"/>
      <c r="C433" s="341"/>
      <c r="D433" s="341"/>
      <c r="E433" s="341"/>
      <c r="F433" s="342"/>
      <c r="G433" s="342"/>
      <c r="H433" s="342"/>
      <c r="I433" s="342"/>
      <c r="J433" s="342"/>
      <c r="K433" s="252" t="str">
        <f>Y433&amp;Y435</f>
        <v>воспитателя</v>
      </c>
      <c r="L433" s="227"/>
      <c r="M433" s="227"/>
      <c r="N433" s="227"/>
      <c r="O433" s="342"/>
      <c r="P433" s="342"/>
      <c r="Q433" s="342"/>
      <c r="R433" s="342"/>
      <c r="S433" s="341"/>
      <c r="U433" s="343"/>
      <c r="V433" s="343"/>
      <c r="W433" s="417" t="s">
        <v>474</v>
      </c>
      <c r="X433" s="616"/>
      <c r="Y433" s="418" t="str">
        <f>IF(AND(AA35&lt;31,Y36=1),Y35,AE35)</f>
        <v>воспитателя</v>
      </c>
      <c r="AH433" s="531"/>
    </row>
    <row r="434" spans="1:34" ht="9.75" customHeight="1">
      <c r="A434" s="214"/>
      <c r="B434" s="341"/>
      <c r="C434" s="341"/>
      <c r="D434" s="341"/>
      <c r="E434" s="341"/>
      <c r="F434" s="1050" t="s">
        <v>534</v>
      </c>
      <c r="G434" s="1050"/>
      <c r="H434" s="1050"/>
      <c r="I434" s="1050"/>
      <c r="J434" s="1050"/>
      <c r="K434" s="1050"/>
      <c r="L434" s="1050"/>
      <c r="M434" s="1050"/>
      <c r="N434" s="1050"/>
      <c r="O434" s="1050"/>
      <c r="P434" s="1050"/>
      <c r="Q434" s="1050"/>
      <c r="R434" s="1050"/>
      <c r="S434" s="1050"/>
      <c r="U434" s="343"/>
      <c r="V434" s="343"/>
      <c r="W434" s="417"/>
      <c r="X434" s="616"/>
      <c r="Y434" s="418"/>
      <c r="AH434" s="531"/>
    </row>
    <row r="435" spans="1:34" ht="15">
      <c r="A435" s="214" t="s">
        <v>194</v>
      </c>
      <c r="B435" s="341"/>
      <c r="C435" s="341"/>
      <c r="D435" s="341"/>
      <c r="E435" s="341"/>
      <c r="F435" s="341"/>
      <c r="G435" s="158"/>
      <c r="H435" s="538">
        <f>IF(OR(Всего="",FIO="",G56=""),"",Y429)</f>
      </c>
      <c r="I435" s="539"/>
      <c r="J435" s="539"/>
      <c r="K435" s="158"/>
      <c r="L435" s="215" t="s">
        <v>195</v>
      </c>
      <c r="M435" s="341"/>
      <c r="N435" s="341"/>
      <c r="O435" s="341"/>
      <c r="P435" s="341"/>
      <c r="Q435" s="341"/>
      <c r="R435" s="341"/>
      <c r="S435" s="341"/>
      <c r="T435" s="341"/>
      <c r="U435" s="341"/>
      <c r="V435" s="341"/>
      <c r="W435" s="341"/>
      <c r="X435" s="616"/>
      <c r="Y435" s="418">
        <f>Z82</f>
      </c>
      <c r="AH435" s="531"/>
    </row>
    <row r="436" spans="24:34" ht="12.75">
      <c r="X436" s="616"/>
      <c r="AH436" s="531"/>
    </row>
    <row r="437" spans="1:34" ht="15">
      <c r="A437" s="607" t="s">
        <v>163</v>
      </c>
      <c r="X437" s="616"/>
      <c r="AH437" s="531"/>
    </row>
    <row r="438" spans="1:34" ht="3" customHeight="1">
      <c r="A438" s="321"/>
      <c r="B438" s="277"/>
      <c r="C438" s="321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616"/>
      <c r="AH438" s="531"/>
    </row>
    <row r="439" spans="1:34" ht="15" customHeight="1">
      <c r="A439" s="977">
        <f>A87</f>
      </c>
      <c r="B439" s="977"/>
      <c r="C439" s="977"/>
      <c r="D439" s="977"/>
      <c r="E439" s="977"/>
      <c r="F439" s="977"/>
      <c r="G439" s="977"/>
      <c r="H439" s="977"/>
      <c r="I439" s="977"/>
      <c r="J439" s="977"/>
      <c r="K439" s="977"/>
      <c r="L439" s="977"/>
      <c r="M439" s="977"/>
      <c r="N439" s="977"/>
      <c r="O439" s="977"/>
      <c r="P439" s="977"/>
      <c r="Q439" s="977"/>
      <c r="R439" s="977"/>
      <c r="S439" s="977"/>
      <c r="T439" s="977"/>
      <c r="U439" s="977"/>
      <c r="V439" s="977"/>
      <c r="W439" s="977"/>
      <c r="X439" s="616"/>
      <c r="Y439" s="976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39" s="976"/>
      <c r="AA439" s="976"/>
      <c r="AB439" s="976"/>
      <c r="AC439" s="976"/>
      <c r="AD439" s="976"/>
      <c r="AE439" s="976"/>
      <c r="AH439" s="531"/>
    </row>
    <row r="440" spans="1:34" ht="15" customHeight="1">
      <c r="A440" s="977"/>
      <c r="B440" s="977"/>
      <c r="C440" s="977"/>
      <c r="D440" s="977"/>
      <c r="E440" s="977"/>
      <c r="F440" s="977"/>
      <c r="G440" s="977"/>
      <c r="H440" s="977"/>
      <c r="I440" s="977"/>
      <c r="J440" s="977"/>
      <c r="K440" s="977"/>
      <c r="L440" s="977"/>
      <c r="M440" s="977"/>
      <c r="N440" s="977"/>
      <c r="O440" s="977"/>
      <c r="P440" s="977"/>
      <c r="Q440" s="977"/>
      <c r="R440" s="977"/>
      <c r="S440" s="977"/>
      <c r="T440" s="977"/>
      <c r="U440" s="977"/>
      <c r="V440" s="977"/>
      <c r="W440" s="977"/>
      <c r="X440" s="616"/>
      <c r="Y440" s="976"/>
      <c r="Z440" s="976"/>
      <c r="AA440" s="976"/>
      <c r="AB440" s="976"/>
      <c r="AC440" s="976"/>
      <c r="AD440" s="976"/>
      <c r="AE440" s="976"/>
      <c r="AF440" s="580"/>
      <c r="AG440" s="308"/>
      <c r="AH440" s="531"/>
    </row>
    <row r="441" spans="1:34" ht="15" customHeight="1">
      <c r="A441" s="977"/>
      <c r="B441" s="977"/>
      <c r="C441" s="977"/>
      <c r="D441" s="977"/>
      <c r="E441" s="977"/>
      <c r="F441" s="977"/>
      <c r="G441" s="977"/>
      <c r="H441" s="977"/>
      <c r="I441" s="977"/>
      <c r="J441" s="977"/>
      <c r="K441" s="977"/>
      <c r="L441" s="977"/>
      <c r="M441" s="977"/>
      <c r="N441" s="977"/>
      <c r="O441" s="977"/>
      <c r="P441" s="977"/>
      <c r="Q441" s="977"/>
      <c r="R441" s="977"/>
      <c r="S441" s="977"/>
      <c r="T441" s="977"/>
      <c r="U441" s="977"/>
      <c r="V441" s="977"/>
      <c r="W441" s="977"/>
      <c r="X441" s="616"/>
      <c r="Y441" s="976"/>
      <c r="Z441" s="976"/>
      <c r="AA441" s="976"/>
      <c r="AB441" s="976"/>
      <c r="AC441" s="976"/>
      <c r="AD441" s="976"/>
      <c r="AE441" s="976"/>
      <c r="AF441" s="580"/>
      <c r="AG441" s="308"/>
      <c r="AH441" s="531"/>
    </row>
    <row r="442" spans="1:34" ht="12.75" customHeight="1">
      <c r="A442" s="977"/>
      <c r="B442" s="977"/>
      <c r="C442" s="977"/>
      <c r="D442" s="977"/>
      <c r="E442" s="977"/>
      <c r="F442" s="977"/>
      <c r="G442" s="977"/>
      <c r="H442" s="977"/>
      <c r="I442" s="977"/>
      <c r="J442" s="977"/>
      <c r="K442" s="977"/>
      <c r="L442" s="977"/>
      <c r="M442" s="977"/>
      <c r="N442" s="977"/>
      <c r="O442" s="977"/>
      <c r="P442" s="977"/>
      <c r="Q442" s="977"/>
      <c r="R442" s="977"/>
      <c r="S442" s="977"/>
      <c r="T442" s="977"/>
      <c r="U442" s="977"/>
      <c r="V442" s="977"/>
      <c r="W442" s="977"/>
      <c r="X442" s="616"/>
      <c r="Y442" s="976"/>
      <c r="Z442" s="976"/>
      <c r="AA442" s="976"/>
      <c r="AB442" s="976"/>
      <c r="AC442" s="976"/>
      <c r="AD442" s="976"/>
      <c r="AE442" s="976"/>
      <c r="AF442" s="580"/>
      <c r="AG442" s="308"/>
      <c r="AH442" s="531"/>
    </row>
    <row r="443" spans="1:123" ht="11.25" customHeight="1">
      <c r="A443" s="277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616"/>
      <c r="Y443" s="308"/>
      <c r="Z443" s="308"/>
      <c r="AA443" s="308"/>
      <c r="AB443" s="308"/>
      <c r="AC443" s="308"/>
      <c r="AD443" s="308"/>
      <c r="AE443" s="580"/>
      <c r="AF443" s="580"/>
      <c r="AG443" s="308"/>
      <c r="AH443" s="531"/>
      <c r="AI443" s="308"/>
      <c r="AJ443" s="308"/>
      <c r="AK443" s="308"/>
      <c r="AL443" s="308"/>
      <c r="AM443" s="308"/>
      <c r="AQ443" s="308"/>
      <c r="AR443" s="308"/>
      <c r="AS443" s="308"/>
      <c r="AT443" s="308"/>
      <c r="AU443" s="308"/>
      <c r="AV443" s="308"/>
      <c r="BD443" s="308"/>
      <c r="BE443" s="308"/>
      <c r="BF443" s="308"/>
      <c r="BG443" s="308"/>
      <c r="BH443" s="308"/>
      <c r="BI443" s="308"/>
      <c r="BJ443" s="308"/>
      <c r="BK443" s="308"/>
      <c r="BS443" s="308"/>
      <c r="BT443" s="308"/>
      <c r="BU443" s="308"/>
      <c r="BV443" s="308"/>
      <c r="BW443" s="308"/>
      <c r="BX443" s="308"/>
      <c r="BY443" s="308"/>
      <c r="BZ443" s="308"/>
      <c r="CH443" s="308"/>
      <c r="CI443" s="308"/>
      <c r="CJ443" s="308"/>
      <c r="CK443" s="308"/>
      <c r="CL443" s="308"/>
      <c r="CM443" s="308"/>
      <c r="CN443" s="308"/>
      <c r="CO443" s="308"/>
      <c r="CW443" s="308"/>
      <c r="CX443" s="308"/>
      <c r="CY443" s="308"/>
      <c r="CZ443" s="308"/>
      <c r="DA443" s="308"/>
      <c r="DB443" s="308"/>
      <c r="DC443" s="308"/>
      <c r="DD443" s="308"/>
      <c r="DL443" s="308"/>
      <c r="DM443" s="308"/>
      <c r="DN443" s="308"/>
      <c r="DO443" s="308"/>
      <c r="DP443" s="308"/>
      <c r="DQ443" s="308"/>
      <c r="DR443" s="308"/>
      <c r="DS443" s="308"/>
    </row>
    <row r="444" spans="1:123" ht="5.25" customHeight="1">
      <c r="A444" s="620"/>
      <c r="B444" s="620"/>
      <c r="C444" s="620"/>
      <c r="D444" s="620"/>
      <c r="E444" s="620"/>
      <c r="F444" s="620"/>
      <c r="G444" s="620"/>
      <c r="H444" s="620"/>
      <c r="I444" s="620"/>
      <c r="J444" s="620"/>
      <c r="K444" s="620"/>
      <c r="L444" s="620"/>
      <c r="M444" s="620"/>
      <c r="N444" s="620"/>
      <c r="O444" s="620"/>
      <c r="P444" s="620"/>
      <c r="Q444" s="620"/>
      <c r="R444" s="620"/>
      <c r="S444" s="620"/>
      <c r="T444" s="620"/>
      <c r="U444" s="620"/>
      <c r="V444" s="620"/>
      <c r="W444" s="620"/>
      <c r="X444" s="616"/>
      <c r="Y444" s="308"/>
      <c r="Z444" s="308"/>
      <c r="AA444" s="308"/>
      <c r="AB444" s="308"/>
      <c r="AC444" s="308"/>
      <c r="AD444" s="308"/>
      <c r="AE444" s="580"/>
      <c r="AF444" s="580"/>
      <c r="AG444" s="308"/>
      <c r="AH444" s="531"/>
      <c r="AI444" s="308"/>
      <c r="AJ444" s="308"/>
      <c r="AK444" s="308"/>
      <c r="AL444" s="308"/>
      <c r="AM444" s="308"/>
      <c r="AQ444" s="308"/>
      <c r="AR444" s="308"/>
      <c r="AS444" s="308"/>
      <c r="AT444" s="308"/>
      <c r="AU444" s="308"/>
      <c r="AV444" s="308"/>
      <c r="BD444" s="308"/>
      <c r="BE444" s="308"/>
      <c r="BF444" s="308"/>
      <c r="BG444" s="308"/>
      <c r="BH444" s="308"/>
      <c r="BI444" s="308"/>
      <c r="BJ444" s="308"/>
      <c r="BK444" s="308"/>
      <c r="BS444" s="308"/>
      <c r="BT444" s="308"/>
      <c r="BU444" s="308"/>
      <c r="BV444" s="308"/>
      <c r="BW444" s="308"/>
      <c r="BX444" s="308"/>
      <c r="BY444" s="308"/>
      <c r="BZ444" s="308"/>
      <c r="CH444" s="308"/>
      <c r="CI444" s="308"/>
      <c r="CJ444" s="308"/>
      <c r="CK444" s="308"/>
      <c r="CL444" s="308"/>
      <c r="CM444" s="308"/>
      <c r="CN444" s="308"/>
      <c r="CO444" s="308"/>
      <c r="CW444" s="308"/>
      <c r="CX444" s="308"/>
      <c r="CY444" s="308"/>
      <c r="CZ444" s="308"/>
      <c r="DA444" s="308"/>
      <c r="DB444" s="308"/>
      <c r="DC444" s="308"/>
      <c r="DD444" s="308"/>
      <c r="DL444" s="308"/>
      <c r="DM444" s="308"/>
      <c r="DN444" s="308"/>
      <c r="DO444" s="308"/>
      <c r="DP444" s="308"/>
      <c r="DQ444" s="308"/>
      <c r="DR444" s="308"/>
      <c r="DS444" s="308"/>
    </row>
    <row r="445" spans="1:123" ht="15" customHeight="1" hidden="1">
      <c r="A445" s="398" t="s">
        <v>210</v>
      </c>
      <c r="B445" s="1049"/>
      <c r="C445" s="1049"/>
      <c r="D445" s="1049"/>
      <c r="E445" s="1049"/>
      <c r="F445" s="1049"/>
      <c r="G445" s="1049"/>
      <c r="H445" s="1049"/>
      <c r="I445" s="1049"/>
      <c r="J445" s="1049"/>
      <c r="K445" s="1049"/>
      <c r="L445" s="1049"/>
      <c r="M445" s="1049"/>
      <c r="N445" s="1049"/>
      <c r="O445" s="1049"/>
      <c r="P445" s="1049"/>
      <c r="Q445" s="1049"/>
      <c r="R445" s="1049"/>
      <c r="S445" s="1049"/>
      <c r="T445" s="1049"/>
      <c r="U445" s="1049"/>
      <c r="V445" s="1049"/>
      <c r="W445" s="1049"/>
      <c r="X445" s="616"/>
      <c r="Y445" s="308"/>
      <c r="Z445" s="308"/>
      <c r="AA445" s="308"/>
      <c r="AB445" s="308"/>
      <c r="AC445" s="308"/>
      <c r="AD445" s="308"/>
      <c r="AE445" s="580"/>
      <c r="AF445" s="580"/>
      <c r="AG445" s="308"/>
      <c r="AH445" s="531"/>
      <c r="AI445" s="308"/>
      <c r="AJ445" s="308"/>
      <c r="AK445" s="308"/>
      <c r="AL445" s="308"/>
      <c r="AM445" s="308"/>
      <c r="AQ445" s="308"/>
      <c r="AR445" s="308"/>
      <c r="AS445" s="308"/>
      <c r="AT445" s="308"/>
      <c r="AU445" s="308"/>
      <c r="AV445" s="308"/>
      <c r="BD445" s="308"/>
      <c r="BE445" s="308"/>
      <c r="BF445" s="308"/>
      <c r="BG445" s="308"/>
      <c r="BH445" s="308"/>
      <c r="BI445" s="308"/>
      <c r="BJ445" s="308"/>
      <c r="BK445" s="308"/>
      <c r="BS445" s="308"/>
      <c r="BT445" s="308"/>
      <c r="BU445" s="308"/>
      <c r="BV445" s="308"/>
      <c r="BW445" s="308"/>
      <c r="BX445" s="308"/>
      <c r="BY445" s="308"/>
      <c r="BZ445" s="308"/>
      <c r="CH445" s="308"/>
      <c r="CI445" s="308"/>
      <c r="CJ445" s="308"/>
      <c r="CK445" s="308"/>
      <c r="CL445" s="308"/>
      <c r="CM445" s="308"/>
      <c r="CN445" s="308"/>
      <c r="CO445" s="308"/>
      <c r="CW445" s="308"/>
      <c r="CX445" s="308"/>
      <c r="CY445" s="308"/>
      <c r="CZ445" s="308"/>
      <c r="DA445" s="308"/>
      <c r="DB445" s="308"/>
      <c r="DC445" s="308"/>
      <c r="DD445" s="308"/>
      <c r="DL445" s="308"/>
      <c r="DM445" s="308"/>
      <c r="DN445" s="308"/>
      <c r="DO445" s="308"/>
      <c r="DP445" s="308"/>
      <c r="DQ445" s="308"/>
      <c r="DR445" s="308"/>
      <c r="DS445" s="308"/>
    </row>
    <row r="446" spans="1:123" ht="12.75">
      <c r="A446" s="5"/>
      <c r="B446" s="1049"/>
      <c r="C446" s="1049"/>
      <c r="D446" s="1049"/>
      <c r="E446" s="1049"/>
      <c r="F446" s="1049"/>
      <c r="G446" s="1049"/>
      <c r="H446" s="1049"/>
      <c r="I446" s="1049"/>
      <c r="J446" s="1049"/>
      <c r="K446" s="1049"/>
      <c r="L446" s="1049"/>
      <c r="M446" s="1049"/>
      <c r="N446" s="1049"/>
      <c r="O446" s="1049"/>
      <c r="P446" s="1049"/>
      <c r="Q446" s="1049"/>
      <c r="R446" s="1049"/>
      <c r="S446" s="1049"/>
      <c r="T446" s="1049"/>
      <c r="U446" s="1049"/>
      <c r="V446" s="1049"/>
      <c r="W446" s="1049"/>
      <c r="X446" s="616"/>
      <c r="Y446" s="308"/>
      <c r="Z446" s="308"/>
      <c r="AA446" s="308"/>
      <c r="AB446" s="308"/>
      <c r="AC446" s="308"/>
      <c r="AD446" s="308"/>
      <c r="AE446" s="580"/>
      <c r="AF446" s="580"/>
      <c r="AG446" s="308"/>
      <c r="AH446" s="531"/>
      <c r="AI446" s="308"/>
      <c r="AJ446" s="308"/>
      <c r="AK446" s="308"/>
      <c r="AL446" s="308"/>
      <c r="AM446" s="308"/>
      <c r="AQ446" s="308"/>
      <c r="AR446" s="308"/>
      <c r="AS446" s="308"/>
      <c r="AT446" s="308"/>
      <c r="AU446" s="308"/>
      <c r="AV446" s="308"/>
      <c r="BD446" s="308"/>
      <c r="BE446" s="308"/>
      <c r="BF446" s="308"/>
      <c r="BG446" s="308"/>
      <c r="BH446" s="308"/>
      <c r="BI446" s="308"/>
      <c r="BJ446" s="308"/>
      <c r="BK446" s="308"/>
      <c r="BS446" s="308"/>
      <c r="BT446" s="308"/>
      <c r="BU446" s="308"/>
      <c r="BV446" s="308"/>
      <c r="BW446" s="308"/>
      <c r="BX446" s="308"/>
      <c r="BY446" s="308"/>
      <c r="BZ446" s="308"/>
      <c r="CH446" s="308"/>
      <c r="CI446" s="308"/>
      <c r="CJ446" s="308"/>
      <c r="CK446" s="308"/>
      <c r="CL446" s="308"/>
      <c r="CM446" s="308"/>
      <c r="CN446" s="308"/>
      <c r="CO446" s="308"/>
      <c r="CW446" s="308"/>
      <c r="CX446" s="308"/>
      <c r="CY446" s="308"/>
      <c r="CZ446" s="308"/>
      <c r="DA446" s="308"/>
      <c r="DB446" s="308"/>
      <c r="DC446" s="308"/>
      <c r="DD446" s="308"/>
      <c r="DL446" s="308"/>
      <c r="DM446" s="308"/>
      <c r="DN446" s="308"/>
      <c r="DO446" s="308"/>
      <c r="DP446" s="308"/>
      <c r="DQ446" s="308"/>
      <c r="DR446" s="308"/>
      <c r="DS446" s="308"/>
    </row>
    <row r="447" spans="1:123" ht="3.75" customHeight="1">
      <c r="A447" s="518"/>
      <c r="B447" s="388"/>
      <c r="C447" s="388"/>
      <c r="D447" s="388"/>
      <c r="E447" s="388"/>
      <c r="F447" s="388"/>
      <c r="G447" s="388"/>
      <c r="H447" s="388"/>
      <c r="I447" s="388"/>
      <c r="J447" s="388"/>
      <c r="K447" s="388"/>
      <c r="L447" s="388"/>
      <c r="M447" s="388"/>
      <c r="N447" s="388"/>
      <c r="O447" s="388"/>
      <c r="P447" s="388"/>
      <c r="Q447" s="388"/>
      <c r="R447" s="388"/>
      <c r="S447" s="388"/>
      <c r="T447" s="388"/>
      <c r="U447" s="388"/>
      <c r="V447" s="388"/>
      <c r="W447" s="388"/>
      <c r="X447" s="616"/>
      <c r="Y447" s="308"/>
      <c r="Z447" s="308"/>
      <c r="AA447" s="308"/>
      <c r="AB447" s="308"/>
      <c r="AC447" s="308"/>
      <c r="AD447" s="308"/>
      <c r="AE447" s="580"/>
      <c r="AF447" s="580"/>
      <c r="AG447" s="308"/>
      <c r="AQ447" s="308"/>
      <c r="AR447" s="308"/>
      <c r="AS447" s="308"/>
      <c r="AT447" s="308"/>
      <c r="AU447" s="308"/>
      <c r="AV447" s="308"/>
      <c r="BD447" s="308"/>
      <c r="BE447" s="308"/>
      <c r="BF447" s="308"/>
      <c r="BG447" s="308"/>
      <c r="BH447" s="308"/>
      <c r="BI447" s="308"/>
      <c r="BJ447" s="308"/>
      <c r="BK447" s="308"/>
      <c r="BS447" s="308"/>
      <c r="BT447" s="308"/>
      <c r="BU447" s="308"/>
      <c r="BV447" s="308"/>
      <c r="BW447" s="308"/>
      <c r="BX447" s="308"/>
      <c r="BY447" s="308"/>
      <c r="BZ447" s="308"/>
      <c r="CH447" s="308"/>
      <c r="CI447" s="308"/>
      <c r="CJ447" s="308"/>
      <c r="CK447" s="308"/>
      <c r="CL447" s="308"/>
      <c r="CM447" s="308"/>
      <c r="CN447" s="308"/>
      <c r="CO447" s="308"/>
      <c r="CW447" s="308"/>
      <c r="CX447" s="308"/>
      <c r="CY447" s="308"/>
      <c r="CZ447" s="308"/>
      <c r="DA447" s="308"/>
      <c r="DB447" s="308"/>
      <c r="DC447" s="308"/>
      <c r="DD447" s="308"/>
      <c r="DL447" s="308"/>
      <c r="DM447" s="308"/>
      <c r="DN447" s="308"/>
      <c r="DO447" s="308"/>
      <c r="DP447" s="308"/>
      <c r="DQ447" s="308"/>
      <c r="DR447" s="308"/>
      <c r="DS447" s="308"/>
    </row>
    <row r="448" spans="1:33" ht="18.75">
      <c r="A448" s="530">
        <f>SUM(A449:A461)</f>
        <v>2</v>
      </c>
      <c r="B448" s="1047" t="str">
        <f>IF(A448=12,"Экспертное заключение ГОТОВО к печати","ЭЗ не готово к печати")</f>
        <v>ЭЗ не готово к печати</v>
      </c>
      <c r="C448" s="1047"/>
      <c r="D448" s="1047"/>
      <c r="E448" s="1047"/>
      <c r="F448" s="1047"/>
      <c r="G448" s="1047"/>
      <c r="H448" s="1047"/>
      <c r="I448" s="1047"/>
      <c r="J448" s="1047"/>
      <c r="K448" s="1047"/>
      <c r="L448" s="1047"/>
      <c r="M448" s="1047"/>
      <c r="N448" s="1047"/>
      <c r="O448" s="1047"/>
      <c r="P448" s="1047"/>
      <c r="Q448" s="1047"/>
      <c r="R448" s="1047"/>
      <c r="S448" s="1047"/>
      <c r="T448" s="1047"/>
      <c r="U448" s="1047"/>
      <c r="V448" s="1047"/>
      <c r="W448" s="529"/>
      <c r="X448" s="616"/>
      <c r="Y448" s="308"/>
      <c r="Z448" s="308"/>
      <c r="AA448" s="308"/>
      <c r="AB448" s="308"/>
      <c r="AC448" s="308"/>
      <c r="AD448" s="308"/>
      <c r="AE448" s="580"/>
      <c r="AF448" s="580"/>
      <c r="AG448" s="308"/>
    </row>
    <row r="449" spans="1:33" ht="15">
      <c r="A449" s="519">
        <f>IF(M449=" + ",1,0)</f>
        <v>0</v>
      </c>
      <c r="B449" s="520" t="s">
        <v>10</v>
      </c>
      <c r="C449" s="520"/>
      <c r="D449" s="520"/>
      <c r="E449" s="520"/>
      <c r="F449" s="520"/>
      <c r="G449" s="520"/>
      <c r="H449" s="520"/>
      <c r="I449" s="520"/>
      <c r="J449" s="520"/>
      <c r="K449" s="520"/>
      <c r="L449" s="520"/>
      <c r="M449" s="521" t="str">
        <f>IF(FIO&lt;&gt;""," + ","не заполнено")</f>
        <v>не заполнено</v>
      </c>
      <c r="N449" s="520"/>
      <c r="O449" s="520"/>
      <c r="P449" s="520"/>
      <c r="Q449" s="520"/>
      <c r="R449" s="520"/>
      <c r="S449" s="520"/>
      <c r="T449" s="520"/>
      <c r="U449" s="520"/>
      <c r="V449" s="520"/>
      <c r="W449" s="520"/>
      <c r="X449" s="616"/>
      <c r="Y449" s="308"/>
      <c r="Z449" s="308"/>
      <c r="AA449" s="308"/>
      <c r="AB449" s="308"/>
      <c r="AC449" s="308"/>
      <c r="AD449" s="308"/>
      <c r="AE449" s="580"/>
      <c r="AF449" s="580"/>
      <c r="AG449" s="308"/>
    </row>
    <row r="450" spans="1:33" ht="15">
      <c r="A450" s="519">
        <f aca="true" t="shared" si="1" ref="A450:A461">IF(M450=" + ",1,0)</f>
        <v>0</v>
      </c>
      <c r="B450" s="522" t="s">
        <v>12</v>
      </c>
      <c r="C450" s="522"/>
      <c r="D450" s="522"/>
      <c r="E450" s="522"/>
      <c r="F450" s="522"/>
      <c r="G450" s="522"/>
      <c r="H450" s="522"/>
      <c r="I450" s="522"/>
      <c r="J450" s="522"/>
      <c r="K450" s="522"/>
      <c r="L450" s="522"/>
      <c r="M450" s="523" t="str">
        <f>IF(C48&lt;&gt;""," + ","не заполнено")</f>
        <v>не заполнено</v>
      </c>
      <c r="N450" s="522"/>
      <c r="O450" s="522"/>
      <c r="P450" s="522"/>
      <c r="Q450" s="522"/>
      <c r="R450" s="522"/>
      <c r="S450" s="522"/>
      <c r="T450" s="522"/>
      <c r="U450" s="522"/>
      <c r="V450" s="522"/>
      <c r="W450" s="522"/>
      <c r="X450" s="616"/>
      <c r="Y450" s="308"/>
      <c r="Z450" s="308"/>
      <c r="AA450" s="308"/>
      <c r="AB450" s="308"/>
      <c r="AC450" s="308"/>
      <c r="AD450" s="308"/>
      <c r="AE450" s="580"/>
      <c r="AF450" s="580"/>
      <c r="AG450" s="308"/>
    </row>
    <row r="451" spans="1:33" ht="15">
      <c r="A451" s="519">
        <f t="shared" si="1"/>
        <v>0</v>
      </c>
      <c r="B451" s="522" t="s">
        <v>11</v>
      </c>
      <c r="C451" s="522"/>
      <c r="D451" s="522"/>
      <c r="E451" s="522"/>
      <c r="F451" s="522"/>
      <c r="G451" s="522"/>
      <c r="H451" s="522"/>
      <c r="I451" s="522"/>
      <c r="J451" s="522"/>
      <c r="K451" s="522"/>
      <c r="L451" s="522"/>
      <c r="M451" s="523" t="str">
        <f>IF(E51&lt;&gt;""," + ","не заполнено")</f>
        <v>не заполнено</v>
      </c>
      <c r="N451" s="522"/>
      <c r="O451" s="522"/>
      <c r="P451" s="522"/>
      <c r="Q451" s="522"/>
      <c r="R451" s="522"/>
      <c r="S451" s="522"/>
      <c r="T451" s="522"/>
      <c r="U451" s="522"/>
      <c r="V451" s="522"/>
      <c r="W451" s="522"/>
      <c r="X451" s="616"/>
      <c r="Y451" s="308"/>
      <c r="Z451" s="308"/>
      <c r="AA451" s="308"/>
      <c r="AB451" s="308"/>
      <c r="AC451" s="308"/>
      <c r="AD451" s="308"/>
      <c r="AE451" s="580"/>
      <c r="AF451" s="580"/>
      <c r="AG451" s="308"/>
    </row>
    <row r="452" spans="1:33" ht="15">
      <c r="A452" s="519">
        <f t="shared" si="1"/>
        <v>0</v>
      </c>
      <c r="B452" s="522" t="s">
        <v>13</v>
      </c>
      <c r="C452" s="522"/>
      <c r="D452" s="522"/>
      <c r="E452" s="522"/>
      <c r="F452" s="522"/>
      <c r="G452" s="522"/>
      <c r="H452" s="522"/>
      <c r="I452" s="522"/>
      <c r="J452" s="522"/>
      <c r="K452" s="522"/>
      <c r="L452" s="522"/>
      <c r="M452" s="523" t="str">
        <f>IF(D52&lt;&gt;""," + ","не заполнено")</f>
        <v>не заполнено</v>
      </c>
      <c r="N452" s="522"/>
      <c r="O452" s="522"/>
      <c r="P452" s="522"/>
      <c r="Q452" s="522"/>
      <c r="R452" s="522"/>
      <c r="S452" s="522"/>
      <c r="T452" s="522"/>
      <c r="U452" s="522"/>
      <c r="V452" s="522"/>
      <c r="W452" s="522"/>
      <c r="X452" s="616"/>
      <c r="Y452" s="308"/>
      <c r="Z452" s="308"/>
      <c r="AA452" s="308"/>
      <c r="AB452" s="308"/>
      <c r="AC452" s="308"/>
      <c r="AD452" s="308"/>
      <c r="AE452" s="580"/>
      <c r="AF452" s="580"/>
      <c r="AG452" s="308"/>
    </row>
    <row r="453" spans="1:33" ht="15">
      <c r="A453" s="519">
        <f t="shared" si="1"/>
        <v>1</v>
      </c>
      <c r="B453" s="522" t="s">
        <v>15</v>
      </c>
      <c r="C453" s="522"/>
      <c r="D453" s="522"/>
      <c r="E453" s="522"/>
      <c r="F453" s="522"/>
      <c r="G453" s="522"/>
      <c r="H453" s="522"/>
      <c r="I453" s="522"/>
      <c r="J453" s="522"/>
      <c r="K453" s="522"/>
      <c r="L453" s="522"/>
      <c r="M453" s="523" t="str">
        <f>IF(E54&gt;0," + ","не заполнено")</f>
        <v> + </v>
      </c>
      <c r="N453" s="522"/>
      <c r="O453" s="522"/>
      <c r="P453" s="522"/>
      <c r="Q453" s="522"/>
      <c r="R453" s="522"/>
      <c r="S453" s="522"/>
      <c r="T453" s="522"/>
      <c r="U453" s="522"/>
      <c r="V453" s="522"/>
      <c r="W453" s="522"/>
      <c r="X453" s="616"/>
      <c r="Y453" s="308"/>
      <c r="Z453" s="308"/>
      <c r="AA453" s="308"/>
      <c r="AB453" s="308"/>
      <c r="AC453" s="308"/>
      <c r="AD453" s="308"/>
      <c r="AE453" s="580"/>
      <c r="AF453" s="580"/>
      <c r="AG453" s="308"/>
    </row>
    <row r="454" spans="1:33" ht="15">
      <c r="A454" s="519">
        <f t="shared" si="1"/>
        <v>0</v>
      </c>
      <c r="B454" s="522" t="s">
        <v>16</v>
      </c>
      <c r="C454" s="522"/>
      <c r="D454" s="522"/>
      <c r="E454" s="522"/>
      <c r="F454" s="522"/>
      <c r="G454" s="522"/>
      <c r="H454" s="522"/>
      <c r="I454" s="522"/>
      <c r="J454" s="522"/>
      <c r="K454" s="522"/>
      <c r="L454" s="522"/>
      <c r="M454" s="523" t="str">
        <f>IF(G55&lt;&gt;""," + ","не заполнено")</f>
        <v>не заполнено</v>
      </c>
      <c r="N454" s="522"/>
      <c r="O454" s="522"/>
      <c r="P454" s="522"/>
      <c r="Q454" s="522"/>
      <c r="R454" s="522"/>
      <c r="S454" s="522"/>
      <c r="T454" s="522"/>
      <c r="U454" s="522"/>
      <c r="V454" s="522"/>
      <c r="W454" s="522"/>
      <c r="X454" s="616"/>
      <c r="Y454" s="308"/>
      <c r="Z454" s="308"/>
      <c r="AA454" s="308"/>
      <c r="AB454" s="308"/>
      <c r="AC454" s="308"/>
      <c r="AD454" s="308"/>
      <c r="AE454" s="580"/>
      <c r="AF454" s="580"/>
      <c r="AG454" s="308"/>
    </row>
    <row r="455" spans="1:33" ht="15">
      <c r="A455" s="519">
        <f t="shared" si="1"/>
        <v>0</v>
      </c>
      <c r="B455" s="522" t="s">
        <v>17</v>
      </c>
      <c r="C455" s="522"/>
      <c r="D455" s="522"/>
      <c r="E455" s="522"/>
      <c r="F455" s="522"/>
      <c r="G455" s="522"/>
      <c r="H455" s="522"/>
      <c r="I455" s="522"/>
      <c r="J455" s="522"/>
      <c r="K455" s="522"/>
      <c r="L455" s="522"/>
      <c r="M455" s="523" t="str">
        <f>IF(z_kateg&lt;&gt;""," + "," - ")</f>
        <v> - </v>
      </c>
      <c r="N455" s="609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55" s="522"/>
      <c r="P455" s="522"/>
      <c r="Q455" s="522"/>
      <c r="R455" s="522"/>
      <c r="S455" s="522"/>
      <c r="T455" s="522"/>
      <c r="U455" s="522"/>
      <c r="V455" s="522"/>
      <c r="W455" s="522"/>
      <c r="X455" s="616"/>
      <c r="Y455" s="308"/>
      <c r="Z455" s="308"/>
      <c r="AA455" s="308"/>
      <c r="AB455" s="308"/>
      <c r="AC455" s="308"/>
      <c r="AD455" s="308"/>
      <c r="AE455" s="580"/>
      <c r="AF455" s="580"/>
      <c r="AG455" s="308"/>
    </row>
    <row r="456" spans="1:33" ht="15">
      <c r="A456" s="519">
        <f t="shared" si="1"/>
        <v>0</v>
      </c>
      <c r="B456" s="522" t="s">
        <v>19</v>
      </c>
      <c r="C456" s="522"/>
      <c r="D456" s="522"/>
      <c r="E456" s="522"/>
      <c r="F456" s="522"/>
      <c r="G456" s="522"/>
      <c r="H456" s="522"/>
      <c r="I456" s="522"/>
      <c r="J456" s="522"/>
      <c r="K456" s="522"/>
      <c r="L456" s="522"/>
      <c r="M456" s="523" t="str">
        <f>IF(z_kateg&lt;&gt;"",IF(z_kateg="первая"," + ",IF(AND(z_kateg="высшая",OR(G55="первая",G55="высшая"))," + ","Внимание! Нет в наличии первой категории ")),"не заполнено")</f>
        <v>не заполнено</v>
      </c>
      <c r="N456" s="522"/>
      <c r="O456" s="522"/>
      <c r="P456" s="522"/>
      <c r="Q456" s="522"/>
      <c r="R456" s="522"/>
      <c r="S456" s="522"/>
      <c r="T456" s="522"/>
      <c r="U456" s="522"/>
      <c r="V456" s="522"/>
      <c r="W456" s="522"/>
      <c r="X456" s="616"/>
      <c r="Y456" s="308"/>
      <c r="Z456" s="308"/>
      <c r="AA456" s="308"/>
      <c r="AB456" s="308"/>
      <c r="AC456" s="308"/>
      <c r="AD456" s="308"/>
      <c r="AE456" s="580"/>
      <c r="AF456" s="580"/>
      <c r="AG456" s="308"/>
    </row>
    <row r="457" spans="1:33" ht="15">
      <c r="A457" s="519">
        <f t="shared" si="1"/>
        <v>0</v>
      </c>
      <c r="B457" s="522" t="s">
        <v>242</v>
      </c>
      <c r="C457" s="522"/>
      <c r="D457" s="522"/>
      <c r="E457" s="522"/>
      <c r="F457" s="522"/>
      <c r="G457" s="522"/>
      <c r="H457" s="522"/>
      <c r="I457" s="522"/>
      <c r="J457" s="522"/>
      <c r="K457" s="522"/>
      <c r="L457" s="522"/>
      <c r="M457" s="523" t="str">
        <f>IF(H92&lt;&gt;""," + ","не заполнено")</f>
        <v>не заполнено</v>
      </c>
      <c r="N457" s="522"/>
      <c r="O457" s="522"/>
      <c r="P457" s="522"/>
      <c r="Q457" s="522"/>
      <c r="R457" s="522"/>
      <c r="S457" s="522"/>
      <c r="T457" s="522"/>
      <c r="U457" s="522"/>
      <c r="V457" s="522"/>
      <c r="W457" s="522"/>
      <c r="X457" s="616"/>
      <c r="Y457" s="308"/>
      <c r="Z457" s="308"/>
      <c r="AA457" s="308"/>
      <c r="AB457" s="308"/>
      <c r="AC457" s="308"/>
      <c r="AD457" s="308"/>
      <c r="AE457" s="580"/>
      <c r="AF457" s="580"/>
      <c r="AG457" s="308"/>
    </row>
    <row r="458" spans="1:33" ht="15">
      <c r="A458" s="519">
        <f t="shared" si="1"/>
        <v>0</v>
      </c>
      <c r="B458" s="522" t="s">
        <v>259</v>
      </c>
      <c r="C458" s="522"/>
      <c r="D458" s="522"/>
      <c r="E458" s="522"/>
      <c r="F458" s="522"/>
      <c r="G458" s="522"/>
      <c r="H458" s="522"/>
      <c r="I458" s="522"/>
      <c r="J458" s="522"/>
      <c r="K458" s="524" t="s">
        <v>55</v>
      </c>
      <c r="L458" s="522"/>
      <c r="M458" s="523" t="str">
        <f>IF(H94&lt;&gt;""," + ","не заполнено")</f>
        <v>не заполнено</v>
      </c>
      <c r="N458" s="522"/>
      <c r="O458" s="522"/>
      <c r="P458" s="522"/>
      <c r="Q458" s="522"/>
      <c r="R458" s="522"/>
      <c r="S458" s="522"/>
      <c r="T458" s="522"/>
      <c r="U458" s="522"/>
      <c r="V458" s="522"/>
      <c r="W458" s="522"/>
      <c r="X458" s="616"/>
      <c r="Y458" s="308"/>
      <c r="Z458" s="308"/>
      <c r="AA458" s="308"/>
      <c r="AB458" s="308"/>
      <c r="AC458" s="308"/>
      <c r="AD458" s="308"/>
      <c r="AE458" s="580"/>
      <c r="AF458" s="580"/>
      <c r="AG458" s="308"/>
    </row>
    <row r="459" spans="1:33" ht="15">
      <c r="A459" s="519">
        <f t="shared" si="1"/>
        <v>1</v>
      </c>
      <c r="B459" s="522"/>
      <c r="C459" s="522"/>
      <c r="D459" s="522"/>
      <c r="E459" s="522"/>
      <c r="F459" s="522"/>
      <c r="G459" s="522"/>
      <c r="H459" s="522"/>
      <c r="I459" s="522"/>
      <c r="J459" s="522"/>
      <c r="K459" s="524" t="s">
        <v>260</v>
      </c>
      <c r="L459" s="522"/>
      <c r="M459" s="523" t="str">
        <f>IF(AND('общие сведения'!$F$107&gt;1,H96=""),"не заполнено",IF(AND('общие сведения'!$F$107&lt;2,H96&lt;&gt;""),"кол-во экспертов не предусматривает наличие второго"," + "))</f>
        <v> + </v>
      </c>
      <c r="N459" s="522"/>
      <c r="O459" s="522"/>
      <c r="P459" s="522"/>
      <c r="Q459" s="522"/>
      <c r="R459" s="522"/>
      <c r="S459" s="522"/>
      <c r="T459" s="522"/>
      <c r="U459" s="522"/>
      <c r="V459" s="522"/>
      <c r="W459" s="522"/>
      <c r="X459" s="616"/>
      <c r="Y459" s="308"/>
      <c r="Z459" s="308"/>
      <c r="AA459" s="308"/>
      <c r="AB459" s="308"/>
      <c r="AC459" s="308"/>
      <c r="AD459" s="308"/>
      <c r="AE459" s="580"/>
      <c r="AF459" s="580"/>
      <c r="AG459" s="308"/>
    </row>
    <row r="460" spans="1:33" ht="2.25" customHeight="1">
      <c r="A460" s="519">
        <f>IF(M460=" + ",1,0)</f>
        <v>0</v>
      </c>
      <c r="B460" s="522"/>
      <c r="C460" s="522"/>
      <c r="D460" s="522"/>
      <c r="E460" s="522"/>
      <c r="F460" s="522"/>
      <c r="G460" s="522"/>
      <c r="H460" s="522"/>
      <c r="I460" s="522"/>
      <c r="J460" s="522"/>
      <c r="K460" s="522"/>
      <c r="L460" s="522"/>
      <c r="M460" s="525"/>
      <c r="N460" s="522"/>
      <c r="O460" s="522"/>
      <c r="P460" s="522"/>
      <c r="Q460" s="522"/>
      <c r="R460" s="522"/>
      <c r="S460" s="522"/>
      <c r="T460" s="522"/>
      <c r="U460" s="522"/>
      <c r="V460" s="522"/>
      <c r="W460" s="522"/>
      <c r="X460" s="616"/>
      <c r="Y460" s="308"/>
      <c r="Z460" s="308"/>
      <c r="AA460" s="308"/>
      <c r="AB460" s="308"/>
      <c r="AC460" s="308"/>
      <c r="AD460" s="308"/>
      <c r="AE460" s="580"/>
      <c r="AF460" s="580"/>
      <c r="AG460" s="308"/>
    </row>
    <row r="461" spans="1:33" ht="15">
      <c r="A461" s="519">
        <f t="shared" si="1"/>
        <v>0</v>
      </c>
      <c r="B461" s="522" t="s">
        <v>261</v>
      </c>
      <c r="C461" s="522"/>
      <c r="D461" s="522"/>
      <c r="E461" s="522"/>
      <c r="F461" s="522"/>
      <c r="G461" s="522"/>
      <c r="H461" s="522"/>
      <c r="I461" s="522"/>
      <c r="J461" s="522"/>
      <c r="K461" s="522"/>
      <c r="L461" s="522"/>
      <c r="M461" s="523" t="str">
        <f>IF(Всего&lt;&gt;""," + ","не заполнено - подсчет автоматический")</f>
        <v>не заполнено - подсчет автоматический</v>
      </c>
      <c r="N461" s="522"/>
      <c r="O461" s="522"/>
      <c r="P461" s="522"/>
      <c r="Q461" s="522"/>
      <c r="R461" s="522"/>
      <c r="S461" s="522"/>
      <c r="T461" s="522"/>
      <c r="U461" s="522"/>
      <c r="V461" s="522"/>
      <c r="W461" s="522"/>
      <c r="X461" s="616"/>
      <c r="Y461" s="308"/>
      <c r="Z461" s="308"/>
      <c r="AA461" s="308"/>
      <c r="AB461" s="308"/>
      <c r="AC461" s="308"/>
      <c r="AD461" s="308"/>
      <c r="AE461" s="580"/>
      <c r="AF461" s="580"/>
      <c r="AG461" s="308"/>
    </row>
    <row r="462" spans="1:33" ht="6" customHeight="1">
      <c r="A462" s="519"/>
      <c r="B462" s="526"/>
      <c r="C462" s="526"/>
      <c r="D462" s="526"/>
      <c r="E462" s="526"/>
      <c r="F462" s="526"/>
      <c r="G462" s="526"/>
      <c r="H462" s="526"/>
      <c r="I462" s="526"/>
      <c r="J462" s="526"/>
      <c r="K462" s="526"/>
      <c r="L462" s="526"/>
      <c r="M462" s="527"/>
      <c r="N462" s="526"/>
      <c r="O462" s="526"/>
      <c r="P462" s="526"/>
      <c r="Q462" s="526"/>
      <c r="R462" s="526"/>
      <c r="S462" s="526"/>
      <c r="T462" s="526"/>
      <c r="U462" s="526"/>
      <c r="V462" s="526"/>
      <c r="W462" s="526"/>
      <c r="X462" s="616"/>
      <c r="Y462" s="308"/>
      <c r="Z462" s="308"/>
      <c r="AA462" s="308"/>
      <c r="AB462" s="308"/>
      <c r="AC462" s="308"/>
      <c r="AD462" s="308"/>
      <c r="AE462" s="580"/>
      <c r="AF462" s="580"/>
      <c r="AG462" s="308"/>
    </row>
    <row r="463" spans="1:123" ht="12.75">
      <c r="A463" s="518"/>
      <c r="B463" s="528" t="str">
        <f>IF($B$448="Экспертное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63" s="388"/>
      <c r="D463" s="388"/>
      <c r="E463" s="388"/>
      <c r="F463" s="388"/>
      <c r="G463" s="388"/>
      <c r="H463" s="388"/>
      <c r="I463" s="388"/>
      <c r="J463" s="388"/>
      <c r="K463" s="388"/>
      <c r="L463" s="388"/>
      <c r="M463" s="388"/>
      <c r="N463" s="388"/>
      <c r="O463" s="388"/>
      <c r="P463" s="388"/>
      <c r="Q463" s="388"/>
      <c r="R463" s="388"/>
      <c r="S463" s="388"/>
      <c r="T463" s="388"/>
      <c r="U463" s="388"/>
      <c r="V463" s="388"/>
      <c r="W463" s="388"/>
      <c r="X463" s="616"/>
      <c r="Y463" s="308"/>
      <c r="Z463" s="308"/>
      <c r="AA463" s="308"/>
      <c r="AB463" s="308"/>
      <c r="AC463" s="308"/>
      <c r="AD463" s="308"/>
      <c r="AE463" s="580"/>
      <c r="AF463" s="580"/>
      <c r="AG463" s="308"/>
      <c r="AQ463" s="308"/>
      <c r="AR463" s="308"/>
      <c r="AS463" s="308"/>
      <c r="AT463" s="308"/>
      <c r="AU463" s="308"/>
      <c r="AV463" s="308"/>
      <c r="BD463" s="308"/>
      <c r="BE463" s="308"/>
      <c r="BF463" s="308"/>
      <c r="BG463" s="308"/>
      <c r="BH463" s="308"/>
      <c r="BI463" s="308"/>
      <c r="BJ463" s="308"/>
      <c r="BK463" s="308"/>
      <c r="BS463" s="308"/>
      <c r="BT463" s="308"/>
      <c r="BU463" s="308"/>
      <c r="BV463" s="308"/>
      <c r="BW463" s="308"/>
      <c r="BX463" s="308"/>
      <c r="BY463" s="308"/>
      <c r="BZ463" s="308"/>
      <c r="CH463" s="308"/>
      <c r="CI463" s="308"/>
      <c r="CJ463" s="308"/>
      <c r="CK463" s="308"/>
      <c r="CL463" s="308"/>
      <c r="CM463" s="308"/>
      <c r="CN463" s="308"/>
      <c r="CO463" s="308"/>
      <c r="CW463" s="308"/>
      <c r="CX463" s="308"/>
      <c r="CY463" s="308"/>
      <c r="CZ463" s="308"/>
      <c r="DA463" s="308"/>
      <c r="DB463" s="308"/>
      <c r="DC463" s="308"/>
      <c r="DD463" s="308"/>
      <c r="DL463" s="308"/>
      <c r="DM463" s="308"/>
      <c r="DN463" s="308"/>
      <c r="DO463" s="308"/>
      <c r="DP463" s="308"/>
      <c r="DQ463" s="308"/>
      <c r="DR463" s="308"/>
      <c r="DS463" s="308"/>
    </row>
    <row r="464" spans="1:33" ht="12.75">
      <c r="A464" s="518"/>
      <c r="B464" s="528">
        <f>IF($B$448="Экспертное заключение ГОТОВО к печати"," Печать ЭЗ:    меню Файл-Печать   или    комбинация клавиш  CTRL+P. ","")</f>
      </c>
      <c r="C464" s="388"/>
      <c r="D464" s="388"/>
      <c r="E464" s="388"/>
      <c r="F464" s="388"/>
      <c r="G464" s="388"/>
      <c r="H464" s="388"/>
      <c r="I464" s="388"/>
      <c r="J464" s="388"/>
      <c r="K464" s="388"/>
      <c r="L464" s="388"/>
      <c r="M464" s="388"/>
      <c r="N464" s="388"/>
      <c r="O464" s="388"/>
      <c r="P464" s="388"/>
      <c r="Q464" s="388"/>
      <c r="R464" s="388"/>
      <c r="S464" s="388"/>
      <c r="T464" s="388"/>
      <c r="U464" s="388"/>
      <c r="V464" s="388"/>
      <c r="W464" s="388"/>
      <c r="X464" s="616"/>
      <c r="Y464" s="308"/>
      <c r="Z464" s="308"/>
      <c r="AA464" s="308"/>
      <c r="AB464" s="308"/>
      <c r="AC464" s="308"/>
      <c r="AD464" s="308"/>
      <c r="AE464" s="580"/>
      <c r="AF464" s="580"/>
      <c r="AG464" s="308"/>
    </row>
    <row r="465" spans="1:33" ht="9" customHeight="1">
      <c r="A465" s="5"/>
      <c r="Y465" s="308"/>
      <c r="Z465" s="308"/>
      <c r="AA465" s="308"/>
      <c r="AB465" s="308"/>
      <c r="AC465" s="308"/>
      <c r="AD465" s="308"/>
      <c r="AE465" s="580"/>
      <c r="AF465" s="580"/>
      <c r="AG465" s="308"/>
    </row>
    <row r="466" spans="1:33" ht="15.75">
      <c r="A466" s="310"/>
      <c r="B466" s="1029" t="s">
        <v>262</v>
      </c>
      <c r="C466" s="1030"/>
      <c r="D466" s="1030"/>
      <c r="E466" s="1030"/>
      <c r="F466" s="1030"/>
      <c r="G466" s="1030"/>
      <c r="H466" s="1030"/>
      <c r="I466" s="1030"/>
      <c r="J466" s="1030"/>
      <c r="K466" s="1030"/>
      <c r="L466" s="1030"/>
      <c r="M466" s="1030"/>
      <c r="N466" s="1030"/>
      <c r="O466" s="1030"/>
      <c r="P466" s="1030"/>
      <c r="Q466" s="1030"/>
      <c r="R466" s="1030"/>
      <c r="S466" s="1030"/>
      <c r="T466" s="1030"/>
      <c r="U466" s="1030"/>
      <c r="V466" s="1031"/>
      <c r="W466" s="310"/>
      <c r="Y466" s="308"/>
      <c r="Z466" s="308"/>
      <c r="AA466" s="308"/>
      <c r="AB466" s="308"/>
      <c r="AC466" s="308"/>
      <c r="AD466" s="308"/>
      <c r="AE466" s="580"/>
      <c r="AF466" s="580"/>
      <c r="AG466" s="308"/>
    </row>
    <row r="467" spans="23:33" ht="4.5" customHeight="1">
      <c r="W467" s="270"/>
      <c r="Y467" s="308"/>
      <c r="Z467" s="308"/>
      <c r="AA467" s="308"/>
      <c r="AB467" s="308"/>
      <c r="AC467" s="308"/>
      <c r="AD467" s="308"/>
      <c r="AE467" s="580"/>
      <c r="AF467" s="580"/>
      <c r="AG467" s="308"/>
    </row>
    <row r="468" spans="1:33" ht="15.75">
      <c r="A468" s="310"/>
      <c r="B468" s="1029" t="s">
        <v>263</v>
      </c>
      <c r="C468" s="1030"/>
      <c r="D468" s="1030"/>
      <c r="E468" s="1030"/>
      <c r="F468" s="1030"/>
      <c r="G468" s="1030"/>
      <c r="H468" s="1030"/>
      <c r="I468" s="1030"/>
      <c r="J468" s="1030"/>
      <c r="K468" s="1030"/>
      <c r="L468" s="1030"/>
      <c r="M468" s="1030"/>
      <c r="N468" s="1030"/>
      <c r="O468" s="1030"/>
      <c r="P468" s="1030"/>
      <c r="Q468" s="1030"/>
      <c r="R468" s="1030"/>
      <c r="S468" s="1030"/>
      <c r="T468" s="1030"/>
      <c r="U468" s="1030"/>
      <c r="V468" s="1031"/>
      <c r="W468" s="310"/>
      <c r="Y468" s="308"/>
      <c r="Z468" s="308"/>
      <c r="AA468" s="308"/>
      <c r="AB468" s="308"/>
      <c r="AC468" s="308"/>
      <c r="AD468" s="308"/>
      <c r="AE468" s="580"/>
      <c r="AF468" s="580"/>
      <c r="AG468" s="308"/>
    </row>
    <row r="469" spans="23:33" ht="12.75">
      <c r="W469" s="270"/>
      <c r="Y469" s="308"/>
      <c r="Z469" s="308"/>
      <c r="AA469" s="308"/>
      <c r="AB469" s="308"/>
      <c r="AC469" s="308"/>
      <c r="AD469" s="308"/>
      <c r="AE469" s="580"/>
      <c r="AF469" s="580"/>
      <c r="AG469" s="308"/>
    </row>
    <row r="470" spans="25:33" ht="12.75">
      <c r="Y470" s="308"/>
      <c r="Z470" s="308"/>
      <c r="AA470" s="308"/>
      <c r="AB470" s="308"/>
      <c r="AC470" s="308"/>
      <c r="AD470" s="308"/>
      <c r="AE470" s="580"/>
      <c r="AF470" s="580"/>
      <c r="AG470" s="308"/>
    </row>
    <row r="471" spans="25:33" ht="12.75">
      <c r="Y471" s="308"/>
      <c r="Z471" s="308"/>
      <c r="AA471" s="308"/>
      <c r="AB471" s="308"/>
      <c r="AC471" s="308"/>
      <c r="AD471" s="308"/>
      <c r="AE471" s="580"/>
      <c r="AF471" s="580"/>
      <c r="AG471" s="308"/>
    </row>
    <row r="472" spans="25:33" ht="12.75">
      <c r="Y472" s="308"/>
      <c r="Z472" s="308"/>
      <c r="AA472" s="308"/>
      <c r="AB472" s="308"/>
      <c r="AC472" s="308"/>
      <c r="AD472" s="308"/>
      <c r="AE472" s="580"/>
      <c r="AF472" s="580"/>
      <c r="AG472" s="308"/>
    </row>
  </sheetData>
  <sheetProtection password="CF7C" sheet="1" objects="1" scenarios="1"/>
  <mergeCells count="552">
    <mergeCell ref="N363:R363"/>
    <mergeCell ref="S363:W363"/>
    <mergeCell ref="I364:M365"/>
    <mergeCell ref="N364:R365"/>
    <mergeCell ref="S364:W365"/>
    <mergeCell ref="S361:W361"/>
    <mergeCell ref="I362:M362"/>
    <mergeCell ref="N362:R362"/>
    <mergeCell ref="A422:W422"/>
    <mergeCell ref="H407:W407"/>
    <mergeCell ref="H408:W409"/>
    <mergeCell ref="A357:A365"/>
    <mergeCell ref="B357:H358"/>
    <mergeCell ref="S357:W360"/>
    <mergeCell ref="B359:H359"/>
    <mergeCell ref="B360:H365"/>
    <mergeCell ref="I361:M361"/>
    <mergeCell ref="N361:R361"/>
    <mergeCell ref="H98:W98"/>
    <mergeCell ref="H99:W99"/>
    <mergeCell ref="K374:O375"/>
    <mergeCell ref="P374:T375"/>
    <mergeCell ref="I302:K304"/>
    <mergeCell ref="I305:K306"/>
    <mergeCell ref="B242:J248"/>
    <mergeCell ref="F312:H313"/>
    <mergeCell ref="I357:M359"/>
    <mergeCell ref="N357:R359"/>
    <mergeCell ref="C100:K100"/>
    <mergeCell ref="P371:T373"/>
    <mergeCell ref="H374:J377"/>
    <mergeCell ref="L100:R100"/>
    <mergeCell ref="I332:K333"/>
    <mergeCell ref="I336:K336"/>
    <mergeCell ref="I337:K339"/>
    <mergeCell ref="A110:W110"/>
    <mergeCell ref="S362:W362"/>
    <mergeCell ref="I363:M363"/>
    <mergeCell ref="P378:T379"/>
    <mergeCell ref="U370:W370"/>
    <mergeCell ref="U378:W379"/>
    <mergeCell ref="U374:W377"/>
    <mergeCell ref="K376:O377"/>
    <mergeCell ref="P376:T377"/>
    <mergeCell ref="A371:A379"/>
    <mergeCell ref="B371:E377"/>
    <mergeCell ref="F371:G373"/>
    <mergeCell ref="H371:J373"/>
    <mergeCell ref="K371:O373"/>
    <mergeCell ref="B378:E379"/>
    <mergeCell ref="F378:G379"/>
    <mergeCell ref="H378:J379"/>
    <mergeCell ref="K378:O379"/>
    <mergeCell ref="I300:K301"/>
    <mergeCell ref="F305:H306"/>
    <mergeCell ref="A368:A370"/>
    <mergeCell ref="B368:E370"/>
    <mergeCell ref="F368:W368"/>
    <mergeCell ref="F369:W369"/>
    <mergeCell ref="F370:G370"/>
    <mergeCell ref="H370:J370"/>
    <mergeCell ref="P370:T370"/>
    <mergeCell ref="K370:O370"/>
    <mergeCell ref="A295:A301"/>
    <mergeCell ref="A302:A308"/>
    <mergeCell ref="A309:A315"/>
    <mergeCell ref="B295:E300"/>
    <mergeCell ref="B301:E301"/>
    <mergeCell ref="B302:E306"/>
    <mergeCell ref="B307:E308"/>
    <mergeCell ref="F302:H304"/>
    <mergeCell ref="F309:H311"/>
    <mergeCell ref="B315:E315"/>
    <mergeCell ref="B309:E314"/>
    <mergeCell ref="B292:E294"/>
    <mergeCell ref="I294:K294"/>
    <mergeCell ref="F294:H294"/>
    <mergeCell ref="I298:K299"/>
    <mergeCell ref="I295:K297"/>
    <mergeCell ref="I307:K308"/>
    <mergeCell ref="A249:A252"/>
    <mergeCell ref="B271:J274"/>
    <mergeCell ref="B275:J278"/>
    <mergeCell ref="T295:W297"/>
    <mergeCell ref="P267:S270"/>
    <mergeCell ref="P271:S274"/>
    <mergeCell ref="T271:W274"/>
    <mergeCell ref="P295:S297"/>
    <mergeCell ref="L295:O297"/>
    <mergeCell ref="T275:W278"/>
    <mergeCell ref="F300:H301"/>
    <mergeCell ref="F292:W292"/>
    <mergeCell ref="F293:W293"/>
    <mergeCell ref="F307:H308"/>
    <mergeCell ref="F295:H297"/>
    <mergeCell ref="F298:H299"/>
    <mergeCell ref="P298:S298"/>
    <mergeCell ref="L307:O308"/>
    <mergeCell ref="P307:S308"/>
    <mergeCell ref="T307:W308"/>
    <mergeCell ref="A319:A325"/>
    <mergeCell ref="B319:E323"/>
    <mergeCell ref="F314:H315"/>
    <mergeCell ref="I314:K315"/>
    <mergeCell ref="I309:K311"/>
    <mergeCell ref="I312:K313"/>
    <mergeCell ref="A316:A318"/>
    <mergeCell ref="B316:E318"/>
    <mergeCell ref="F316:W316"/>
    <mergeCell ref="F317:W317"/>
    <mergeCell ref="P318:W318"/>
    <mergeCell ref="F318:H318"/>
    <mergeCell ref="I318:O318"/>
    <mergeCell ref="P319:W323"/>
    <mergeCell ref="B324:E325"/>
    <mergeCell ref="P324:W325"/>
    <mergeCell ref="F319:H323"/>
    <mergeCell ref="F324:H325"/>
    <mergeCell ref="I319:O323"/>
    <mergeCell ref="I324:O325"/>
    <mergeCell ref="I340:K342"/>
    <mergeCell ref="I334:W334"/>
    <mergeCell ref="I335:W335"/>
    <mergeCell ref="B334:H336"/>
    <mergeCell ref="B337:H342"/>
    <mergeCell ref="T340:W341"/>
    <mergeCell ref="T336:W336"/>
    <mergeCell ref="L337:O339"/>
    <mergeCell ref="P337:S339"/>
    <mergeCell ref="P340:S341"/>
    <mergeCell ref="I343:K344"/>
    <mergeCell ref="A337:A344"/>
    <mergeCell ref="B343:H344"/>
    <mergeCell ref="A329:A333"/>
    <mergeCell ref="A345:A347"/>
    <mergeCell ref="B345:H347"/>
    <mergeCell ref="I345:W345"/>
    <mergeCell ref="A334:A336"/>
    <mergeCell ref="L336:O336"/>
    <mergeCell ref="P336:S336"/>
    <mergeCell ref="B445:W446"/>
    <mergeCell ref="L420:O421"/>
    <mergeCell ref="P420:S421"/>
    <mergeCell ref="T420:W421"/>
    <mergeCell ref="B410:G413"/>
    <mergeCell ref="F434:S434"/>
    <mergeCell ref="H411:K411"/>
    <mergeCell ref="L411:O411"/>
    <mergeCell ref="P411:S411"/>
    <mergeCell ref="P431:Q431"/>
    <mergeCell ref="S347:W347"/>
    <mergeCell ref="A348:A353"/>
    <mergeCell ref="B348:H351"/>
    <mergeCell ref="I348:M349"/>
    <mergeCell ref="N348:R349"/>
    <mergeCell ref="S348:W349"/>
    <mergeCell ref="N350:R350"/>
    <mergeCell ref="S350:W350"/>
    <mergeCell ref="I351:M351"/>
    <mergeCell ref="N351:R351"/>
    <mergeCell ref="B466:V466"/>
    <mergeCell ref="L412:O413"/>
    <mergeCell ref="P412:S413"/>
    <mergeCell ref="T412:W413"/>
    <mergeCell ref="B448:V448"/>
    <mergeCell ref="S352:W353"/>
    <mergeCell ref="B352:H353"/>
    <mergeCell ref="I352:M353"/>
    <mergeCell ref="N352:R353"/>
    <mergeCell ref="B405:J405"/>
    <mergeCell ref="A354:A356"/>
    <mergeCell ref="B354:H356"/>
    <mergeCell ref="I354:W354"/>
    <mergeCell ref="I355:W355"/>
    <mergeCell ref="I356:M356"/>
    <mergeCell ref="N356:R356"/>
    <mergeCell ref="S356:W356"/>
    <mergeCell ref="B427:G427"/>
    <mergeCell ref="B407:G409"/>
    <mergeCell ref="H427:S427"/>
    <mergeCell ref="L415:O415"/>
    <mergeCell ref="B128:D136"/>
    <mergeCell ref="I350:M350"/>
    <mergeCell ref="B333:E333"/>
    <mergeCell ref="B156:N158"/>
    <mergeCell ref="O128:R131"/>
    <mergeCell ref="S144:W145"/>
    <mergeCell ref="B468:V468"/>
    <mergeCell ref="T418:W418"/>
    <mergeCell ref="H419:K419"/>
    <mergeCell ref="L419:O419"/>
    <mergeCell ref="P419:S419"/>
    <mergeCell ref="H420:K421"/>
    <mergeCell ref="B428:G428"/>
    <mergeCell ref="B429:G429"/>
    <mergeCell ref="H429:S429"/>
    <mergeCell ref="H428:S428"/>
    <mergeCell ref="T411:W411"/>
    <mergeCell ref="A253:A256"/>
    <mergeCell ref="A257:A260"/>
    <mergeCell ref="O127:R127"/>
    <mergeCell ref="O135:R136"/>
    <mergeCell ref="O144:R145"/>
    <mergeCell ref="O153:R158"/>
    <mergeCell ref="B137:D145"/>
    <mergeCell ref="B147:W148"/>
    <mergeCell ref="S142:W142"/>
    <mergeCell ref="A418:A421"/>
    <mergeCell ref="B418:G421"/>
    <mergeCell ref="H418:K418"/>
    <mergeCell ref="L418:O418"/>
    <mergeCell ref="P418:S418"/>
    <mergeCell ref="T419:W419"/>
    <mergeCell ref="T394:W394"/>
    <mergeCell ref="L393:W393"/>
    <mergeCell ref="T400:W401"/>
    <mergeCell ref="P384:S384"/>
    <mergeCell ref="I346:W346"/>
    <mergeCell ref="I347:M347"/>
    <mergeCell ref="N347:R347"/>
    <mergeCell ref="L395:O399"/>
    <mergeCell ref="P395:S399"/>
    <mergeCell ref="S351:W351"/>
    <mergeCell ref="S143:W143"/>
    <mergeCell ref="S141:W141"/>
    <mergeCell ref="S128:W131"/>
    <mergeCell ref="S132:W132"/>
    <mergeCell ref="S133:W133"/>
    <mergeCell ref="O132:R134"/>
    <mergeCell ref="T395:W399"/>
    <mergeCell ref="T410:W410"/>
    <mergeCell ref="P410:S410"/>
    <mergeCell ref="L410:O410"/>
    <mergeCell ref="H410:K410"/>
    <mergeCell ref="AA345:AA365"/>
    <mergeCell ref="L400:O401"/>
    <mergeCell ref="L390:O391"/>
    <mergeCell ref="L392:W392"/>
    <mergeCell ref="P400:S401"/>
    <mergeCell ref="S174:W174"/>
    <mergeCell ref="S134:W134"/>
    <mergeCell ref="B125:D127"/>
    <mergeCell ref="S159:W160"/>
    <mergeCell ref="B168:W171"/>
    <mergeCell ref="E125:N127"/>
    <mergeCell ref="B159:N160"/>
    <mergeCell ref="S157:W157"/>
    <mergeCell ref="S158:W158"/>
    <mergeCell ref="E144:N145"/>
    <mergeCell ref="AF345:AF365"/>
    <mergeCell ref="Y439:AE442"/>
    <mergeCell ref="A439:W442"/>
    <mergeCell ref="B150:N152"/>
    <mergeCell ref="B153:N155"/>
    <mergeCell ref="AE345:AE365"/>
    <mergeCell ref="T328:W328"/>
    <mergeCell ref="L343:O344"/>
    <mergeCell ref="P343:S344"/>
    <mergeCell ref="T343:W344"/>
    <mergeCell ref="T337:W339"/>
    <mergeCell ref="L342:O342"/>
    <mergeCell ref="L332:O333"/>
    <mergeCell ref="L340:O341"/>
    <mergeCell ref="T342:W342"/>
    <mergeCell ref="T332:W333"/>
    <mergeCell ref="T329:W331"/>
    <mergeCell ref="F332:H333"/>
    <mergeCell ref="T384:W384"/>
    <mergeCell ref="L394:O394"/>
    <mergeCell ref="P394:S394"/>
    <mergeCell ref="F326:W326"/>
    <mergeCell ref="F327:W327"/>
    <mergeCell ref="P342:S342"/>
    <mergeCell ref="L328:O328"/>
    <mergeCell ref="P332:S333"/>
    <mergeCell ref="P328:S328"/>
    <mergeCell ref="L329:O331"/>
    <mergeCell ref="P329:S331"/>
    <mergeCell ref="B326:E328"/>
    <mergeCell ref="I328:K328"/>
    <mergeCell ref="I329:K331"/>
    <mergeCell ref="F328:H328"/>
    <mergeCell ref="F329:H331"/>
    <mergeCell ref="L314:O315"/>
    <mergeCell ref="P314:S315"/>
    <mergeCell ref="T314:W315"/>
    <mergeCell ref="L313:O313"/>
    <mergeCell ref="P313:S313"/>
    <mergeCell ref="T313:W313"/>
    <mergeCell ref="L312:O312"/>
    <mergeCell ref="P312:S312"/>
    <mergeCell ref="T312:W312"/>
    <mergeCell ref="P302:S304"/>
    <mergeCell ref="P309:S311"/>
    <mergeCell ref="L309:O311"/>
    <mergeCell ref="T309:W311"/>
    <mergeCell ref="L302:O304"/>
    <mergeCell ref="P306:S306"/>
    <mergeCell ref="T302:W304"/>
    <mergeCell ref="K275:O278"/>
    <mergeCell ref="P275:S278"/>
    <mergeCell ref="L299:O299"/>
    <mergeCell ref="Y271:Y274"/>
    <mergeCell ref="Y275:Y278"/>
    <mergeCell ref="L306:O306"/>
    <mergeCell ref="T298:W298"/>
    <mergeCell ref="P299:S299"/>
    <mergeCell ref="L298:O298"/>
    <mergeCell ref="P305:S305"/>
    <mergeCell ref="P253:S256"/>
    <mergeCell ref="T306:W306"/>
    <mergeCell ref="T299:W299"/>
    <mergeCell ref="Y249:Y252"/>
    <mergeCell ref="Y253:Y256"/>
    <mergeCell ref="Y257:Y260"/>
    <mergeCell ref="T300:W301"/>
    <mergeCell ref="P300:S301"/>
    <mergeCell ref="T294:W294"/>
    <mergeCell ref="T253:W256"/>
    <mergeCell ref="G56:H56"/>
    <mergeCell ref="Q289:W289"/>
    <mergeCell ref="O159:R160"/>
    <mergeCell ref="K266:O266"/>
    <mergeCell ref="P266:S266"/>
    <mergeCell ref="T266:W266"/>
    <mergeCell ref="T249:W252"/>
    <mergeCell ref="K249:O252"/>
    <mergeCell ref="K257:O260"/>
    <mergeCell ref="K253:O256"/>
    <mergeCell ref="S156:W156"/>
    <mergeCell ref="Z36:AA36"/>
    <mergeCell ref="A42:W44"/>
    <mergeCell ref="A40:W41"/>
    <mergeCell ref="E47:W47"/>
    <mergeCell ref="C48:W48"/>
    <mergeCell ref="O152:R152"/>
    <mergeCell ref="S152:W152"/>
    <mergeCell ref="K65:L65"/>
    <mergeCell ref="H97:W97"/>
    <mergeCell ref="A87:W90"/>
    <mergeCell ref="H93:W93"/>
    <mergeCell ref="H94:W94"/>
    <mergeCell ref="H95:W95"/>
    <mergeCell ref="H92:W92"/>
    <mergeCell ref="S153:W155"/>
    <mergeCell ref="L107:W107"/>
    <mergeCell ref="L108:S108"/>
    <mergeCell ref="B122:W123"/>
    <mergeCell ref="O125:W126"/>
    <mergeCell ref="A49:W49"/>
    <mergeCell ref="A45:W46"/>
    <mergeCell ref="H96:W96"/>
    <mergeCell ref="A50:W50"/>
    <mergeCell ref="P55:S55"/>
    <mergeCell ref="K55:O55"/>
    <mergeCell ref="G55:H55"/>
    <mergeCell ref="A67:W70"/>
    <mergeCell ref="A72:W74"/>
    <mergeCell ref="A59:W63"/>
    <mergeCell ref="F108:I108"/>
    <mergeCell ref="O137:R141"/>
    <mergeCell ref="S137:W140"/>
    <mergeCell ref="E128:N133"/>
    <mergeCell ref="S135:W136"/>
    <mergeCell ref="A382:A384"/>
    <mergeCell ref="B227:W231"/>
    <mergeCell ref="B224:W225"/>
    <mergeCell ref="A226:W226"/>
    <mergeCell ref="L384:O384"/>
    <mergeCell ref="A271:A274"/>
    <mergeCell ref="Q285:W287"/>
    <mergeCell ref="Q288:W288"/>
    <mergeCell ref="A264:A270"/>
    <mergeCell ref="A392:A394"/>
    <mergeCell ref="P294:S294"/>
    <mergeCell ref="Q290:W291"/>
    <mergeCell ref="U371:W373"/>
    <mergeCell ref="B268:J270"/>
    <mergeCell ref="K267:O270"/>
    <mergeCell ref="A242:A248"/>
    <mergeCell ref="A326:A328"/>
    <mergeCell ref="A414:A417"/>
    <mergeCell ref="B414:G417"/>
    <mergeCell ref="H414:K414"/>
    <mergeCell ref="A410:A413"/>
    <mergeCell ref="A407:A409"/>
    <mergeCell ref="H412:K413"/>
    <mergeCell ref="B329:E332"/>
    <mergeCell ref="A292:A294"/>
    <mergeCell ref="P415:S415"/>
    <mergeCell ref="H416:K417"/>
    <mergeCell ref="P416:S417"/>
    <mergeCell ref="T416:W417"/>
    <mergeCell ref="T414:W414"/>
    <mergeCell ref="T415:W415"/>
    <mergeCell ref="L416:O417"/>
    <mergeCell ref="L414:O414"/>
    <mergeCell ref="P414:S414"/>
    <mergeCell ref="H415:K415"/>
    <mergeCell ref="B395:K396"/>
    <mergeCell ref="B398:K401"/>
    <mergeCell ref="B397:K397"/>
    <mergeCell ref="B385:K387"/>
    <mergeCell ref="L385:O389"/>
    <mergeCell ref="T390:W391"/>
    <mergeCell ref="B392:K394"/>
    <mergeCell ref="P385:S389"/>
    <mergeCell ref="T385:W389"/>
    <mergeCell ref="B388:K388"/>
    <mergeCell ref="P257:S260"/>
    <mergeCell ref="T257:W260"/>
    <mergeCell ref="B257:J260"/>
    <mergeCell ref="T267:W270"/>
    <mergeCell ref="K271:O274"/>
    <mergeCell ref="K265:W265"/>
    <mergeCell ref="K264:W264"/>
    <mergeCell ref="B264:J267"/>
    <mergeCell ref="B175:H177"/>
    <mergeCell ref="B178:H180"/>
    <mergeCell ref="N179:R180"/>
    <mergeCell ref="S179:W180"/>
    <mergeCell ref="P205:S206"/>
    <mergeCell ref="I189:K189"/>
    <mergeCell ref="T190:W192"/>
    <mergeCell ref="N175:R178"/>
    <mergeCell ref="S175:W178"/>
    <mergeCell ref="F187:W187"/>
    <mergeCell ref="F188:W188"/>
    <mergeCell ref="P209:S210"/>
    <mergeCell ref="T209:W210"/>
    <mergeCell ref="T193:W194"/>
    <mergeCell ref="T195:W196"/>
    <mergeCell ref="I207:K208"/>
    <mergeCell ref="T189:W189"/>
    <mergeCell ref="L197:O198"/>
    <mergeCell ref="P197:S198"/>
    <mergeCell ref="T197:W198"/>
    <mergeCell ref="B220:W222"/>
    <mergeCell ref="P249:S252"/>
    <mergeCell ref="K245:O248"/>
    <mergeCell ref="K242:W242"/>
    <mergeCell ref="B232:W238"/>
    <mergeCell ref="T244:W244"/>
    <mergeCell ref="K244:O244"/>
    <mergeCell ref="A275:A278"/>
    <mergeCell ref="A164:W164"/>
    <mergeCell ref="K243:W243"/>
    <mergeCell ref="I172:W172"/>
    <mergeCell ref="I173:W173"/>
    <mergeCell ref="I174:M174"/>
    <mergeCell ref="N174:R174"/>
    <mergeCell ref="P244:S244"/>
    <mergeCell ref="A187:A189"/>
    <mergeCell ref="B187:E189"/>
    <mergeCell ref="A113:W113"/>
    <mergeCell ref="B114:W117"/>
    <mergeCell ref="B118:W121"/>
    <mergeCell ref="A125:A127"/>
    <mergeCell ref="S127:W127"/>
    <mergeCell ref="A284:A291"/>
    <mergeCell ref="A281:A283"/>
    <mergeCell ref="A172:A174"/>
    <mergeCell ref="B172:H174"/>
    <mergeCell ref="I290:L291"/>
    <mergeCell ref="M283:P283"/>
    <mergeCell ref="Q283:W283"/>
    <mergeCell ref="I284:L289"/>
    <mergeCell ref="M290:P291"/>
    <mergeCell ref="T305:W305"/>
    <mergeCell ref="L294:O294"/>
    <mergeCell ref="M284:P289"/>
    <mergeCell ref="Q284:W284"/>
    <mergeCell ref="L300:O301"/>
    <mergeCell ref="L305:O305"/>
    <mergeCell ref="B389:K391"/>
    <mergeCell ref="B284:H291"/>
    <mergeCell ref="B281:H283"/>
    <mergeCell ref="I281:W281"/>
    <mergeCell ref="I282:W282"/>
    <mergeCell ref="I283:L283"/>
    <mergeCell ref="P390:S391"/>
    <mergeCell ref="B382:K384"/>
    <mergeCell ref="L382:W382"/>
    <mergeCell ref="L383:W383"/>
    <mergeCell ref="A150:A152"/>
    <mergeCell ref="B165:W167"/>
    <mergeCell ref="A175:A180"/>
    <mergeCell ref="A202:A210"/>
    <mergeCell ref="F202:H204"/>
    <mergeCell ref="I202:K204"/>
    <mergeCell ref="F209:H210"/>
    <mergeCell ref="I209:K210"/>
    <mergeCell ref="I179:M180"/>
    <mergeCell ref="I175:M178"/>
    <mergeCell ref="A181:A186"/>
    <mergeCell ref="I181:M184"/>
    <mergeCell ref="N181:R184"/>
    <mergeCell ref="S181:W184"/>
    <mergeCell ref="I185:M186"/>
    <mergeCell ref="N185:R186"/>
    <mergeCell ref="S185:W186"/>
    <mergeCell ref="B181:H186"/>
    <mergeCell ref="A212:A222"/>
    <mergeCell ref="T202:W204"/>
    <mergeCell ref="F205:H208"/>
    <mergeCell ref="I205:K206"/>
    <mergeCell ref="P202:S204"/>
    <mergeCell ref="I190:K192"/>
    <mergeCell ref="L190:O192"/>
    <mergeCell ref="A199:A201"/>
    <mergeCell ref="B199:E201"/>
    <mergeCell ref="F199:W199"/>
    <mergeCell ref="A227:A231"/>
    <mergeCell ref="A232:A238"/>
    <mergeCell ref="B205:E210"/>
    <mergeCell ref="P201:S201"/>
    <mergeCell ref="T201:W201"/>
    <mergeCell ref="T205:W206"/>
    <mergeCell ref="T207:W208"/>
    <mergeCell ref="B202:E204"/>
    <mergeCell ref="L205:O206"/>
    <mergeCell ref="B212:W219"/>
    <mergeCell ref="E134:N136"/>
    <mergeCell ref="B190:E194"/>
    <mergeCell ref="L193:O194"/>
    <mergeCell ref="P193:S194"/>
    <mergeCell ref="F189:H189"/>
    <mergeCell ref="A190:A198"/>
    <mergeCell ref="L195:O196"/>
    <mergeCell ref="I197:K198"/>
    <mergeCell ref="P195:S196"/>
    <mergeCell ref="F197:H198"/>
    <mergeCell ref="B195:E198"/>
    <mergeCell ref="P207:S208"/>
    <mergeCell ref="L201:O201"/>
    <mergeCell ref="B253:J256"/>
    <mergeCell ref="T245:W248"/>
    <mergeCell ref="B249:J252"/>
    <mergeCell ref="L202:O204"/>
    <mergeCell ref="L209:O210"/>
    <mergeCell ref="I201:K201"/>
    <mergeCell ref="P245:S248"/>
    <mergeCell ref="E137:N143"/>
    <mergeCell ref="F200:W200"/>
    <mergeCell ref="F201:H201"/>
    <mergeCell ref="F193:H196"/>
    <mergeCell ref="F190:H192"/>
    <mergeCell ref="L207:O208"/>
    <mergeCell ref="L189:O189"/>
    <mergeCell ref="P189:S189"/>
    <mergeCell ref="P190:S192"/>
    <mergeCell ref="I193:K196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271 B275">
    <cfRule type="expression" priority="29" dxfId="45" stopIfTrue="1">
      <formula>AND($G$56="первая",$B271&lt;&gt;"")</formula>
    </cfRule>
  </conditionalFormatting>
  <conditionalFormatting sqref="K271:S278">
    <cfRule type="containsText" priority="20" dxfId="40" operator="containsText" stopIfTrue="1" text="Не заполнять">
      <formula>NOT(ISERROR(SEARCH("Не заполнять",K271)))</formula>
    </cfRule>
  </conditionalFormatting>
  <conditionalFormatting sqref="A448:W448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2">
    <dataValidation type="list" allowBlank="1" showInputMessage="1" showErrorMessage="1" sqref="P412:S413">
      <formula1>AD412</formula1>
    </dataValidation>
    <dataValidation type="list" allowBlank="1" showInputMessage="1" showErrorMessage="1" sqref="T412:W413">
      <formula1>$AE412</formula1>
    </dataValidation>
    <dataValidation type="list" allowBlank="1" showInputMessage="1" showErrorMessage="1" sqref="P416:S417 P420:S421">
      <formula1>$AD$415</formula1>
    </dataValidation>
    <dataValidation type="list" allowBlank="1" showInputMessage="1" showErrorMessage="1" sqref="H378:J379 U378:W379 I332:O333 I300:K301 I314:K315 I307:K308 I197:K198">
      <formula1>"10,  "</formula1>
    </dataValidation>
    <dataValidation type="list" allowBlank="1" showInputMessage="1" showErrorMessage="1" sqref="T400:W401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31 Z81 U81:V81"/>
    <dataValidation type="list" allowBlank="1" showInputMessage="1" showErrorMessage="1" sqref="P390:S391 P332:W333">
      <formula1>"20,  "</formula1>
    </dataValidation>
    <dataValidation type="list" allowBlank="1" showInputMessage="1" showErrorMessage="1" sqref="P400:S401 T390:W391 S179:W180 S185:W186">
      <formula1>"30,  "</formula1>
    </dataValidation>
    <dataValidation type="list" allowBlank="1" showInputMessage="1" showErrorMessage="1" sqref="K378:O379">
      <formula1>"20, 40, "</formula1>
    </dataValidation>
    <dataValidation type="list" allowBlank="1" showInputMessage="1" showErrorMessage="1" sqref="P378:T379">
      <formula1>"40, 60, "</formula1>
    </dataValidation>
    <dataValidation allowBlank="1" showInputMessage="1" showErrorMessage="1" promptTitle="Внимание!" prompt="Введите данные на листе &#10;&quot;Общие сведения&quot;" sqref="A439 A87 H92:J99 L108:M108 A67 A59 P109:R109 Y63:AF66 BK63:BM66"/>
    <dataValidation type="list" allowBlank="1" showInputMessage="1" showErrorMessage="1" sqref="L412:O413">
      <formula1>$AC$412</formula1>
    </dataValidation>
    <dataValidation type="list" allowBlank="1" showInputMessage="1" showErrorMessage="1" sqref="L416:O417 L420:O421">
      <formula1>$AC$415</formula1>
    </dataValidation>
    <dataValidation type="list" allowBlank="1" showInputMessage="1" showErrorMessage="1" sqref="T416:W417 T420:W421">
      <formula1>$AE$415</formula1>
    </dataValidation>
    <dataValidation type="list" allowBlank="1" showInputMessage="1" showErrorMessage="1" sqref="N352:R353 L314:O315 L307:O308 L300:O301 L343:O344 P324:W325 N185:R186 N179:R180">
      <formula1>"10, 20, "</formula1>
    </dataValidation>
    <dataValidation type="list" allowBlank="1" showInputMessage="1" showErrorMessage="1" sqref="S352:W353">
      <formula1>"20, 40,"</formula1>
    </dataValidation>
    <dataValidation type="list" allowBlank="1" showInputMessage="1" showErrorMessage="1" sqref="N364:R365">
      <formula1>"10, 20, 30, "</formula1>
    </dataValidation>
    <dataValidation type="list" allowBlank="1" showInputMessage="1" showErrorMessage="1" sqref="I324:O325 M290:P291 P253:R253 P249:R249 P271:S278 P257:R258">
      <formula1>"10, "</formula1>
    </dataValidation>
    <dataValidation type="list" allowBlank="1" showInputMessage="1" showErrorMessage="1" sqref="P314:S315 P300:S301 Q290:W291 L209:O210">
      <formula1>"20, 30, "</formula1>
    </dataValidation>
    <dataValidation type="list" allowBlank="1" showInputMessage="1" showErrorMessage="1" sqref="T314:W315 T300:W301 P307:S308 P343:S344 P209:S210">
      <formula1>"30, 40, "</formula1>
    </dataValidation>
    <dataValidation type="list" allowBlank="1" showInputMessage="1" showErrorMessage="1" sqref="T307:W308 T343:W344 T209:W210">
      <formula1>"40, 50, "</formula1>
    </dataValidation>
    <dataValidation type="list" allowBlank="1" showInputMessage="1" showErrorMessage="1" sqref="T249:W260 T271:W278">
      <formula1>"20, "</formula1>
    </dataValidation>
    <dataValidation type="list" allowBlank="1" showInputMessage="1" showErrorMessage="1" sqref="L197:O198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 G91: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type="list" allowBlank="1" showInputMessage="1" showErrorMessage="1" sqref="T197:W198">
      <formula1>"20,50, "</formula1>
    </dataValidation>
    <dataValidation type="list" allowBlank="1" showInputMessage="1" showErrorMessage="1" sqref="P197:S198">
      <formula1>"20,40, "</formula1>
    </dataValidation>
    <dataValidation type="list" allowBlank="1" showInputMessage="1" showErrorMessage="1" sqref="I209:K210">
      <formula1>"10, 20,  "</formula1>
    </dataValidation>
    <dataValidation type="list" allowBlank="1" showInputMessage="1" showErrorMessage="1" sqref="S364:W365">
      <formula1>"10, 50, 70,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68" location="ЭЗ!A40" tooltip="Щелкните, чтобы перейти по ссылке" display="в начало Экспертного заключения"/>
    <hyperlink ref="B466:V466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2023-01-27T08:12:45Z</cp:lastPrinted>
  <dcterms:created xsi:type="dcterms:W3CDTF">2020-08-22T14:09:43Z</dcterms:created>
  <dcterms:modified xsi:type="dcterms:W3CDTF">2023-02-02T06:58:52Z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